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\\KOORDLEN\Data\OSIT\Т А Р И Ф Н Ы Е\для сайта\2024\Протокол 6-24\"/>
    </mc:Choice>
  </mc:AlternateContent>
  <xr:revisionPtr revIDLastSave="0" documentId="13_ncr:1_{CD85A557-2C6A-4DDB-9138-7930B5D81A9F}" xr6:coauthVersionLast="36" xr6:coauthVersionMax="36" xr10:uidLastSave="{00000000-0000-0000-0000-000000000000}"/>
  <bookViews>
    <workbookView xWindow="0" yWindow="0" windowWidth="28800" windowHeight="11325" tabRatio="720" xr2:uid="{00000000-000D-0000-FFFF-FFFF00000000}"/>
  </bookViews>
  <sheets>
    <sheet name="Объемы КС (Пр.6-24)" sheetId="25" r:id="rId1"/>
    <sheet name="ВМП КС (Пр.6-24)" sheetId="24" r:id="rId2"/>
    <sheet name="ДС(05-24)" sheetId="56" r:id="rId3"/>
    <sheet name="ВМП ДС (пр.03-24)" sheetId="37" r:id="rId4"/>
    <sheet name="Гемодиализ (пр.05-24)" sheetId="55" r:id="rId5"/>
    <sheet name="Проф.Свод Пр.5-24" sheetId="63" r:id="rId6"/>
    <sheet name="Углуб.диспан.(Пр.5-24) " sheetId="64" r:id="rId7"/>
    <sheet name="Диспан.репрод.возраста Пр.3-24" sheetId="53" r:id="rId8"/>
    <sheet name="Посещ. по диспн.набл.(Пр.3-24)" sheetId="49" r:id="rId9"/>
    <sheet name="Раз.пос.(Пр.5-24)  " sheetId="65" r:id="rId10"/>
    <sheet name="Пос.сред.мед.персон (Пр.5-24)  " sheetId="66" r:id="rId11"/>
    <sheet name="Пос с др.целями(Пр.5-24)    " sheetId="67" r:id="rId12"/>
    <sheet name="Школа сахар. диабета Пр.5-24" sheetId="68" r:id="rId13"/>
    <sheet name="Центры здоровья (Пр.20-23)" sheetId="17" r:id="rId14"/>
    <sheet name="Иссл.кала на скр.кр.(Пр.20-23)" sheetId="16" r:id="rId15"/>
    <sheet name="Комп.пос. диспан.набл.Пр.4-24 " sheetId="60" r:id="rId16"/>
    <sheet name="Посещения неотл. (Пр.5-24)" sheetId="26" r:id="rId17"/>
    <sheet name="Обращения 6-24 " sheetId="69" r:id="rId18"/>
    <sheet name="Мед.реаб.в АПУ 5-24 " sheetId="70" r:id="rId19"/>
    <sheet name="Долечивание, кибер-нож (20-23)" sheetId="11" r:id="rId20"/>
    <sheet name="Венерология (20-23)" sheetId="10" r:id="rId21"/>
    <sheet name="Паллиативная МП (4-24)" sheetId="12" r:id="rId22"/>
    <sheet name="Наркология (5-24)" sheetId="9" r:id="rId23"/>
    <sheet name="Психотерапия (20-23)" sheetId="8" r:id="rId24"/>
    <sheet name="Фтизиатрия (5-24)" sheetId="7" r:id="rId25"/>
    <sheet name="КТ, МРТ (Пр.6-24)" sheetId="41" r:id="rId26"/>
    <sheet name="УЗИ ссс(Пр.5-24)" sheetId="42" r:id="rId27"/>
    <sheet name="ЭИ, ПАИ, МГИ(Пр.5-24)" sheetId="43" r:id="rId28"/>
    <sheet name="COVID(Пр. 20-23)" sheetId="30" r:id="rId29"/>
    <sheet name="ОРВИ, ГРИПП(Пр.4-24)" sheetId="31" r:id="rId30"/>
    <sheet name="РД,ЛУЧ,КТПЭТ,УЗИскр,ХП Пр.20-23" sheetId="32" r:id="rId31"/>
    <sheet name="СМП 2024 (20-23)" sheetId="34" r:id="rId32"/>
    <sheet name="Лист4" sheetId="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_xlnm.Print_Area_2" localSheetId="28">#REF!</definedName>
    <definedName name="__xlnm.Print_Area_2" localSheetId="3">#REF!</definedName>
    <definedName name="__xlnm.Print_Area_2" localSheetId="1">#REF!</definedName>
    <definedName name="__xlnm.Print_Area_2" localSheetId="7">#REF!</definedName>
    <definedName name="__xlnm.Print_Area_2" localSheetId="14">#REF!</definedName>
    <definedName name="__xlnm.Print_Area_2" localSheetId="15">#REF!</definedName>
    <definedName name="__xlnm.Print_Area_2" localSheetId="25">#REF!</definedName>
    <definedName name="__xlnm.Print_Area_2" localSheetId="18">#REF!</definedName>
    <definedName name="__xlnm.Print_Area_2" localSheetId="17">#REF!</definedName>
    <definedName name="__xlnm.Print_Area_2" localSheetId="29">#REF!</definedName>
    <definedName name="__xlnm.Print_Area_2" localSheetId="11">#REF!</definedName>
    <definedName name="__xlnm.Print_Area_2" localSheetId="10">#REF!</definedName>
    <definedName name="__xlnm.Print_Area_2" localSheetId="8">#REF!</definedName>
    <definedName name="__xlnm.Print_Area_2" localSheetId="16">#REF!</definedName>
    <definedName name="__xlnm.Print_Area_2" localSheetId="5">#REF!</definedName>
    <definedName name="__xlnm.Print_Area_2" localSheetId="9">#REF!</definedName>
    <definedName name="__xlnm.Print_Area_2" localSheetId="30">#REF!</definedName>
    <definedName name="__xlnm.Print_Area_2" localSheetId="31">#REF!</definedName>
    <definedName name="__xlnm.Print_Area_2" localSheetId="6">#REF!</definedName>
    <definedName name="__xlnm.Print_Area_2" localSheetId="26">#REF!</definedName>
    <definedName name="__xlnm.Print_Area_2" localSheetId="13">#REF!</definedName>
    <definedName name="__xlnm.Print_Area_2" localSheetId="12">#REF!</definedName>
    <definedName name="__xlnm.Print_Area_2" localSheetId="27">#REF!</definedName>
    <definedName name="__xlnm.Print_Area_2">#REF!</definedName>
    <definedName name="_xlnm._FilterDatabase" localSheetId="28" hidden="1">'COVID(Пр. 20-23)'!$B$6:$D$23</definedName>
    <definedName name="_xlnm._FilterDatabase" localSheetId="1" hidden="1">'ВМП КС (Пр.6-24)'!$A$4:$AG$97</definedName>
    <definedName name="_xlnm._FilterDatabase" localSheetId="2" hidden="1">'ДС(05-24)'!#REF!</definedName>
    <definedName name="_xlnm._FilterDatabase" localSheetId="15" hidden="1">'Комп.пос. диспан.набл.Пр.4-24 '!$A$10:$L$10</definedName>
    <definedName name="_xlnm._FilterDatabase" localSheetId="25" hidden="1">'КТ, МРТ (Пр.6-24)'!$A$7:$R$56</definedName>
    <definedName name="_xlnm._FilterDatabase" localSheetId="17" hidden="1">'Обращения 6-24 '!$A$11:$C$117</definedName>
    <definedName name="_xlnm._FilterDatabase" localSheetId="0" hidden="1">'Объемы КС (Пр.6-24)'!$A$4:$WVP$141</definedName>
    <definedName name="_xlnm._FilterDatabase" localSheetId="11" hidden="1">'Пос с др.целями(Пр.5-24)    '!$A$9:$L$9</definedName>
    <definedName name="_xlnm._FilterDatabase" localSheetId="10" hidden="1">'Пос.сред.мед.персон (Пр.5-24)  '!$A$9:$O$9</definedName>
    <definedName name="_xlnm._FilterDatabase" localSheetId="8" hidden="1">'Посещ. по диспн.набл.(Пр.3-24)'!$A$12:$AA$12</definedName>
    <definedName name="_xlnm._FilterDatabase" localSheetId="5" hidden="1">'Проф.Свод Пр.5-24'!$A$10:$R$10</definedName>
    <definedName name="_xlnm._FilterDatabase" localSheetId="9" hidden="1">'Раз.пос.(Пр.5-24)  '!$A$10:$S$10</definedName>
    <definedName name="_xlnm._FilterDatabase" localSheetId="30" hidden="1">'РД,ЛУЧ,КТПЭТ,УЗИскр,ХП Пр.20-23'!$A$5:$S$26</definedName>
    <definedName name="_xlnm._FilterDatabase" localSheetId="31" hidden="1">'СМП 2024 (20-23)'!$A$8:$N$23</definedName>
    <definedName name="_xlnm._FilterDatabase" localSheetId="6" hidden="1">'Углуб.диспан.(Пр.5-24) '!#REF!</definedName>
    <definedName name="_xlnm._FilterDatabase" localSheetId="26" hidden="1">'УЗИ ссс(Пр.5-24)'!$A$5:$G$5</definedName>
    <definedName name="_xlnm._FilterDatabase" localSheetId="12" hidden="1">'Школа сахар. диабета Пр.5-24'!#REF!</definedName>
    <definedName name="_xlnm._FilterDatabase" localSheetId="27" hidden="1">'ЭИ, ПАИ, МГИ(Пр.5-24)'!$A$8:$Y$95</definedName>
    <definedName name="Kbcn" localSheetId="28">#REF!</definedName>
    <definedName name="Kbcn" localSheetId="3">#REF!</definedName>
    <definedName name="Kbcn" localSheetId="1">#REF!</definedName>
    <definedName name="Kbcn" localSheetId="7">#REF!</definedName>
    <definedName name="Kbcn" localSheetId="14">#REF!</definedName>
    <definedName name="Kbcn" localSheetId="15">#REF!</definedName>
    <definedName name="Kbcn" localSheetId="25">#REF!</definedName>
    <definedName name="Kbcn" localSheetId="18">#REF!</definedName>
    <definedName name="Kbcn" localSheetId="17">#REF!</definedName>
    <definedName name="Kbcn" localSheetId="29">#REF!</definedName>
    <definedName name="Kbcn" localSheetId="11">#REF!</definedName>
    <definedName name="Kbcn" localSheetId="10">#REF!</definedName>
    <definedName name="Kbcn" localSheetId="8">#REF!</definedName>
    <definedName name="Kbcn" localSheetId="16">#REF!</definedName>
    <definedName name="Kbcn" localSheetId="5">#REF!</definedName>
    <definedName name="Kbcn" localSheetId="9">#REF!</definedName>
    <definedName name="Kbcn" localSheetId="30">#REF!</definedName>
    <definedName name="Kbcn" localSheetId="31">#REF!</definedName>
    <definedName name="Kbcn" localSheetId="6">#REF!</definedName>
    <definedName name="Kbcn" localSheetId="26">#REF!</definedName>
    <definedName name="Kbcn" localSheetId="13">#REF!</definedName>
    <definedName name="Kbcn" localSheetId="12">#REF!</definedName>
    <definedName name="Kbcn" localSheetId="27">#REF!</definedName>
    <definedName name="Kbcn">#REF!</definedName>
    <definedName name="Neot_17" localSheetId="28">#REF!</definedName>
    <definedName name="Neot_17" localSheetId="3">#REF!</definedName>
    <definedName name="Neot_17" localSheetId="1">#REF!</definedName>
    <definedName name="Neot_17" localSheetId="7">#REF!</definedName>
    <definedName name="Neot_17" localSheetId="14">#REF!</definedName>
    <definedName name="Neot_17" localSheetId="15">#REF!</definedName>
    <definedName name="Neot_17" localSheetId="25">#REF!</definedName>
    <definedName name="Neot_17" localSheetId="18">#REF!</definedName>
    <definedName name="Neot_17" localSheetId="17">#REF!</definedName>
    <definedName name="Neot_17" localSheetId="29">#REF!</definedName>
    <definedName name="Neot_17" localSheetId="11">#REF!</definedName>
    <definedName name="Neot_17" localSheetId="10">#REF!</definedName>
    <definedName name="Neot_17" localSheetId="8">#REF!</definedName>
    <definedName name="Neot_17" localSheetId="16">#REF!</definedName>
    <definedName name="Neot_17" localSheetId="5">#REF!</definedName>
    <definedName name="Neot_17" localSheetId="9">#REF!</definedName>
    <definedName name="Neot_17" localSheetId="30">#REF!</definedName>
    <definedName name="Neot_17" localSheetId="31">#REF!</definedName>
    <definedName name="Neot_17" localSheetId="6">#REF!</definedName>
    <definedName name="Neot_17" localSheetId="26">#REF!</definedName>
    <definedName name="Neot_17" localSheetId="13">#REF!</definedName>
    <definedName name="Neot_17" localSheetId="12">#REF!</definedName>
    <definedName name="Neot_17" localSheetId="27">#REF!</definedName>
    <definedName name="Neot_17">#REF!</definedName>
    <definedName name="Pr" localSheetId="15">#REF!</definedName>
    <definedName name="Pr" localSheetId="18">#REF!</definedName>
    <definedName name="Pr" localSheetId="17">#REF!</definedName>
    <definedName name="Pr" localSheetId="11">#REF!</definedName>
    <definedName name="Pr" localSheetId="10">#REF!</definedName>
    <definedName name="Pr" localSheetId="8">#REF!</definedName>
    <definedName name="Pr" localSheetId="5">#REF!</definedName>
    <definedName name="Pr" localSheetId="9">#REF!</definedName>
    <definedName name="Pr" localSheetId="6">#REF!</definedName>
    <definedName name="Pr" localSheetId="26">#REF!</definedName>
    <definedName name="Pr" localSheetId="12">#REF!</definedName>
    <definedName name="Pr">#REF!</definedName>
    <definedName name="res2_range" localSheetId="28">#REF!</definedName>
    <definedName name="res2_range" localSheetId="3">#REF!</definedName>
    <definedName name="res2_range" localSheetId="1">#REF!</definedName>
    <definedName name="res2_range" localSheetId="14">#REF!</definedName>
    <definedName name="res2_range" localSheetId="15">#REF!</definedName>
    <definedName name="res2_range" localSheetId="25">#REF!</definedName>
    <definedName name="res2_range" localSheetId="18">#REF!</definedName>
    <definedName name="res2_range" localSheetId="17">#REF!</definedName>
    <definedName name="res2_range" localSheetId="29">#REF!</definedName>
    <definedName name="res2_range" localSheetId="11">#REF!</definedName>
    <definedName name="res2_range" localSheetId="10">#REF!</definedName>
    <definedName name="res2_range" localSheetId="8">#REF!</definedName>
    <definedName name="res2_range" localSheetId="16">#REF!</definedName>
    <definedName name="res2_range" localSheetId="5">#REF!</definedName>
    <definedName name="res2_range" localSheetId="9">#REF!</definedName>
    <definedName name="res2_range" localSheetId="30">#REF!</definedName>
    <definedName name="res2_range" localSheetId="31">#REF!</definedName>
    <definedName name="res2_range" localSheetId="6">#REF!</definedName>
    <definedName name="res2_range" localSheetId="26">#REF!</definedName>
    <definedName name="res2_range" localSheetId="13">#REF!</definedName>
    <definedName name="res2_range" localSheetId="12">#REF!</definedName>
    <definedName name="res2_range" localSheetId="27">#REF!</definedName>
    <definedName name="res2_range">#REF!</definedName>
    <definedName name="Tg_CZ" localSheetId="28">#REF!</definedName>
    <definedName name="Tg_CZ" localSheetId="3">#REF!</definedName>
    <definedName name="Tg_CZ" localSheetId="1">#REF!</definedName>
    <definedName name="Tg_CZ" localSheetId="14">#REF!</definedName>
    <definedName name="Tg_CZ" localSheetId="15">#REF!</definedName>
    <definedName name="Tg_CZ" localSheetId="25">#REF!</definedName>
    <definedName name="Tg_CZ" localSheetId="18">#REF!</definedName>
    <definedName name="Tg_CZ" localSheetId="17">#REF!</definedName>
    <definedName name="Tg_CZ" localSheetId="29">#REF!</definedName>
    <definedName name="Tg_CZ" localSheetId="11">#REF!</definedName>
    <definedName name="Tg_CZ" localSheetId="10">#REF!</definedName>
    <definedName name="Tg_CZ" localSheetId="8">#REF!</definedName>
    <definedName name="Tg_CZ" localSheetId="16">#REF!</definedName>
    <definedName name="Tg_CZ" localSheetId="5">#REF!</definedName>
    <definedName name="Tg_CZ" localSheetId="9">#REF!</definedName>
    <definedName name="Tg_CZ" localSheetId="30">#REF!</definedName>
    <definedName name="Tg_CZ" localSheetId="31">#REF!</definedName>
    <definedName name="Tg_CZ" localSheetId="6">#REF!</definedName>
    <definedName name="Tg_CZ" localSheetId="26">#REF!</definedName>
    <definedName name="Tg_CZ" localSheetId="13">#REF!</definedName>
    <definedName name="Tg_CZ" localSheetId="12">#REF!</definedName>
    <definedName name="Tg_CZ" localSheetId="27">#REF!</definedName>
    <definedName name="Tg_CZ">#REF!</definedName>
    <definedName name="Tg_Disp" localSheetId="28">#REF!</definedName>
    <definedName name="Tg_Disp" localSheetId="3">#REF!</definedName>
    <definedName name="Tg_Disp" localSheetId="1">#REF!</definedName>
    <definedName name="Tg_Disp" localSheetId="14">#REF!</definedName>
    <definedName name="Tg_Disp" localSheetId="15">#REF!</definedName>
    <definedName name="Tg_Disp" localSheetId="25">#REF!</definedName>
    <definedName name="Tg_Disp" localSheetId="18">#REF!</definedName>
    <definedName name="Tg_Disp" localSheetId="17">#REF!</definedName>
    <definedName name="Tg_Disp" localSheetId="29">#REF!</definedName>
    <definedName name="Tg_Disp" localSheetId="11">#REF!</definedName>
    <definedName name="Tg_Disp" localSheetId="10">#REF!</definedName>
    <definedName name="Tg_Disp" localSheetId="8">#REF!</definedName>
    <definedName name="Tg_Disp" localSheetId="16">#REF!</definedName>
    <definedName name="Tg_Disp" localSheetId="5">#REF!</definedName>
    <definedName name="Tg_Disp" localSheetId="9">#REF!</definedName>
    <definedName name="Tg_Disp" localSheetId="30">#REF!</definedName>
    <definedName name="Tg_Disp" localSheetId="31">#REF!</definedName>
    <definedName name="Tg_Disp" localSheetId="6">#REF!</definedName>
    <definedName name="Tg_Disp" localSheetId="26">#REF!</definedName>
    <definedName name="Tg_Disp" localSheetId="13">#REF!</definedName>
    <definedName name="Tg_Disp" localSheetId="12">#REF!</definedName>
    <definedName name="Tg_Disp" localSheetId="27">#REF!</definedName>
    <definedName name="Tg_Disp">#REF!</definedName>
    <definedName name="Tg_Fin" localSheetId="15">#REF!</definedName>
    <definedName name="Tg_Fin" localSheetId="18">#REF!</definedName>
    <definedName name="Tg_Fin" localSheetId="17">#REF!</definedName>
    <definedName name="Tg_Fin" localSheetId="11">#REF!</definedName>
    <definedName name="Tg_Fin" localSheetId="10">#REF!</definedName>
    <definedName name="Tg_Fin" localSheetId="8">#REF!</definedName>
    <definedName name="Tg_Fin" localSheetId="5">#REF!</definedName>
    <definedName name="Tg_Fin" localSheetId="9">#REF!</definedName>
    <definedName name="Tg_Fin" localSheetId="6">#REF!</definedName>
    <definedName name="Tg_Fin" localSheetId="26">#REF!</definedName>
    <definedName name="Tg_Fin" localSheetId="12">#REF!</definedName>
    <definedName name="Tg_Fin">#REF!</definedName>
    <definedName name="Tg_Geri" localSheetId="28">#REF!</definedName>
    <definedName name="Tg_Geri" localSheetId="3">#REF!</definedName>
    <definedName name="Tg_Geri" localSheetId="1">#REF!</definedName>
    <definedName name="Tg_Geri" localSheetId="14">#REF!</definedName>
    <definedName name="Tg_Geri" localSheetId="15">#REF!</definedName>
    <definedName name="Tg_Geri" localSheetId="25">#REF!</definedName>
    <definedName name="Tg_Geri" localSheetId="18">#REF!</definedName>
    <definedName name="Tg_Geri" localSheetId="17">#REF!</definedName>
    <definedName name="Tg_Geri" localSheetId="29">#REF!</definedName>
    <definedName name="Tg_Geri" localSheetId="11">#REF!</definedName>
    <definedName name="Tg_Geri" localSheetId="10">#REF!</definedName>
    <definedName name="Tg_Geri" localSheetId="8">#REF!</definedName>
    <definedName name="Tg_Geri" localSheetId="16">#REF!</definedName>
    <definedName name="Tg_Geri" localSheetId="5">#REF!</definedName>
    <definedName name="Tg_Geri" localSheetId="9">#REF!</definedName>
    <definedName name="Tg_Geri" localSheetId="30">#REF!</definedName>
    <definedName name="Tg_Geri" localSheetId="31">#REF!</definedName>
    <definedName name="Tg_Geri" localSheetId="6">#REF!</definedName>
    <definedName name="Tg_Geri" localSheetId="26">#REF!</definedName>
    <definedName name="Tg_Geri" localSheetId="13">#REF!</definedName>
    <definedName name="Tg_Geri" localSheetId="12">#REF!</definedName>
    <definedName name="Tg_Geri" localSheetId="27">#REF!</definedName>
    <definedName name="Tg_Geri">#REF!</definedName>
    <definedName name="Tg_Kons" localSheetId="28">#REF!</definedName>
    <definedName name="Tg_Kons" localSheetId="3">#REF!</definedName>
    <definedName name="Tg_Kons" localSheetId="1">#REF!</definedName>
    <definedName name="Tg_Kons" localSheetId="14">#REF!</definedName>
    <definedName name="Tg_Kons" localSheetId="15">#REF!</definedName>
    <definedName name="Tg_Kons" localSheetId="25">#REF!</definedName>
    <definedName name="Tg_Kons" localSheetId="18">#REF!</definedName>
    <definedName name="Tg_Kons" localSheetId="17">#REF!</definedName>
    <definedName name="Tg_Kons" localSheetId="29">#REF!</definedName>
    <definedName name="Tg_Kons" localSheetId="11">#REF!</definedName>
    <definedName name="Tg_Kons" localSheetId="10">#REF!</definedName>
    <definedName name="Tg_Kons" localSheetId="8">#REF!</definedName>
    <definedName name="Tg_Kons" localSheetId="16">#REF!</definedName>
    <definedName name="Tg_Kons" localSheetId="5">#REF!</definedName>
    <definedName name="Tg_Kons" localSheetId="9">#REF!</definedName>
    <definedName name="Tg_Kons" localSheetId="30">#REF!</definedName>
    <definedName name="Tg_Kons" localSheetId="31">#REF!</definedName>
    <definedName name="Tg_Kons" localSheetId="6">#REF!</definedName>
    <definedName name="Tg_Kons" localSheetId="26">#REF!</definedName>
    <definedName name="Tg_Kons" localSheetId="13">#REF!</definedName>
    <definedName name="Tg_Kons" localSheetId="12">#REF!</definedName>
    <definedName name="Tg_Kons" localSheetId="27">#REF!</definedName>
    <definedName name="Tg_Kons">#REF!</definedName>
    <definedName name="Tg_Med" localSheetId="28">#REF!</definedName>
    <definedName name="Tg_Med" localSheetId="3">#REF!</definedName>
    <definedName name="Tg_Med" localSheetId="1">#REF!</definedName>
    <definedName name="Tg_Med" localSheetId="14">#REF!</definedName>
    <definedName name="Tg_Med" localSheetId="15">#REF!</definedName>
    <definedName name="Tg_Med" localSheetId="25">#REF!</definedName>
    <definedName name="Tg_Med" localSheetId="18">#REF!</definedName>
    <definedName name="Tg_Med" localSheetId="17">#REF!</definedName>
    <definedName name="Tg_Med" localSheetId="29">#REF!</definedName>
    <definedName name="Tg_Med" localSheetId="11">#REF!</definedName>
    <definedName name="Tg_Med" localSheetId="10">#REF!</definedName>
    <definedName name="Tg_Med" localSheetId="8">#REF!</definedName>
    <definedName name="Tg_Med" localSheetId="16">#REF!</definedName>
    <definedName name="Tg_Med" localSheetId="5">#REF!</definedName>
    <definedName name="Tg_Med" localSheetId="9">#REF!</definedName>
    <definedName name="Tg_Med" localSheetId="30">#REF!</definedName>
    <definedName name="Tg_Med" localSheetId="31">#REF!</definedName>
    <definedName name="Tg_Med" localSheetId="6">#REF!</definedName>
    <definedName name="Tg_Med" localSheetId="26">#REF!</definedName>
    <definedName name="Tg_Med" localSheetId="13">#REF!</definedName>
    <definedName name="Tg_Med" localSheetId="12">#REF!</definedName>
    <definedName name="Tg_Med" localSheetId="27">#REF!</definedName>
    <definedName name="Tg_Med">#REF!</definedName>
    <definedName name="Tg_Neot" localSheetId="28">#REF!</definedName>
    <definedName name="Tg_Neot" localSheetId="3">#REF!</definedName>
    <definedName name="Tg_Neot" localSheetId="1">#REF!</definedName>
    <definedName name="Tg_Neot" localSheetId="14">#REF!</definedName>
    <definedName name="Tg_Neot" localSheetId="15">#REF!</definedName>
    <definedName name="Tg_Neot" localSheetId="25">#REF!</definedName>
    <definedName name="Tg_Neot" localSheetId="18">#REF!</definedName>
    <definedName name="Tg_Neot" localSheetId="17">#REF!</definedName>
    <definedName name="Tg_Neot" localSheetId="29">#REF!</definedName>
    <definedName name="Tg_Neot" localSheetId="11">#REF!</definedName>
    <definedName name="Tg_Neot" localSheetId="10">#REF!</definedName>
    <definedName name="Tg_Neot" localSheetId="8">#REF!</definedName>
    <definedName name="Tg_Neot" localSheetId="16">#REF!</definedName>
    <definedName name="Tg_Neot" localSheetId="5">#REF!</definedName>
    <definedName name="Tg_Neot" localSheetId="9">#REF!</definedName>
    <definedName name="Tg_Neot" localSheetId="30">#REF!</definedName>
    <definedName name="Tg_Neot" localSheetId="31">#REF!</definedName>
    <definedName name="Tg_Neot" localSheetId="6">#REF!</definedName>
    <definedName name="Tg_Neot" localSheetId="26">#REF!</definedName>
    <definedName name="Tg_Neot" localSheetId="13">#REF!</definedName>
    <definedName name="Tg_Neot" localSheetId="12">#REF!</definedName>
    <definedName name="Tg_Neot" localSheetId="27">#REF!</definedName>
    <definedName name="Tg_Neot">#REF!</definedName>
    <definedName name="Tg_Nepr" localSheetId="28">#REF!</definedName>
    <definedName name="Tg_Nepr" localSheetId="3">#REF!</definedName>
    <definedName name="Tg_Nepr" localSheetId="1">#REF!</definedName>
    <definedName name="Tg_Nepr" localSheetId="14">#REF!</definedName>
    <definedName name="Tg_Nepr" localSheetId="15">#REF!</definedName>
    <definedName name="Tg_Nepr" localSheetId="25">#REF!</definedName>
    <definedName name="Tg_Nepr" localSheetId="18">#REF!</definedName>
    <definedName name="Tg_Nepr" localSheetId="17">#REF!</definedName>
    <definedName name="Tg_Nepr" localSheetId="29">#REF!</definedName>
    <definedName name="Tg_Nepr" localSheetId="11">#REF!</definedName>
    <definedName name="Tg_Nepr" localSheetId="10">#REF!</definedName>
    <definedName name="Tg_Nepr" localSheetId="8">#REF!</definedName>
    <definedName name="Tg_Nepr" localSheetId="16">#REF!</definedName>
    <definedName name="Tg_Nepr" localSheetId="5">#REF!</definedName>
    <definedName name="Tg_Nepr" localSheetId="9">#REF!</definedName>
    <definedName name="Tg_Nepr" localSheetId="30">#REF!</definedName>
    <definedName name="Tg_Nepr" localSheetId="31">#REF!</definedName>
    <definedName name="Tg_Nepr" localSheetId="6">#REF!</definedName>
    <definedName name="Tg_Nepr" localSheetId="26">#REF!</definedName>
    <definedName name="Tg_Nepr" localSheetId="13">#REF!</definedName>
    <definedName name="Tg_Nepr" localSheetId="12">#REF!</definedName>
    <definedName name="Tg_Nepr" localSheetId="27">#REF!</definedName>
    <definedName name="Tg_Nepr">#REF!</definedName>
    <definedName name="Tg_Obr" localSheetId="28">#REF!</definedName>
    <definedName name="Tg_Obr" localSheetId="3">#REF!</definedName>
    <definedName name="Tg_Obr" localSheetId="1">#REF!</definedName>
    <definedName name="Tg_Obr" localSheetId="14">#REF!</definedName>
    <definedName name="Tg_Obr" localSheetId="15">#REF!</definedName>
    <definedName name="Tg_Obr" localSheetId="25">#REF!</definedName>
    <definedName name="Tg_Obr" localSheetId="18">#REF!</definedName>
    <definedName name="Tg_Obr" localSheetId="17">#REF!</definedName>
    <definedName name="Tg_Obr" localSheetId="29">#REF!</definedName>
    <definedName name="Tg_Obr" localSheetId="11">#REF!</definedName>
    <definedName name="Tg_Obr" localSheetId="10">#REF!</definedName>
    <definedName name="Tg_Obr" localSheetId="8">#REF!</definedName>
    <definedName name="Tg_Obr" localSheetId="16">#REF!</definedName>
    <definedName name="Tg_Obr" localSheetId="5">#REF!</definedName>
    <definedName name="Tg_Obr" localSheetId="9">#REF!</definedName>
    <definedName name="Tg_Obr" localSheetId="30">#REF!</definedName>
    <definedName name="Tg_Obr" localSheetId="31">#REF!</definedName>
    <definedName name="Tg_Obr" localSheetId="6">#REF!</definedName>
    <definedName name="Tg_Obr" localSheetId="26">#REF!</definedName>
    <definedName name="Tg_Obr" localSheetId="13">#REF!</definedName>
    <definedName name="Tg_Obr" localSheetId="12">#REF!</definedName>
    <definedName name="Tg_Obr" localSheetId="27">#REF!</definedName>
    <definedName name="Tg_Obr">#REF!</definedName>
    <definedName name="Tg_Reestr" localSheetId="28">#REF!</definedName>
    <definedName name="Tg_Reestr" localSheetId="3">#REF!</definedName>
    <definedName name="Tg_Reestr" localSheetId="1">#REF!</definedName>
    <definedName name="Tg_Reestr" localSheetId="14">#REF!</definedName>
    <definedName name="Tg_Reestr" localSheetId="15">#REF!</definedName>
    <definedName name="Tg_Reestr" localSheetId="25">#REF!</definedName>
    <definedName name="Tg_Reestr" localSheetId="18">#REF!</definedName>
    <definedName name="Tg_Reestr" localSheetId="17">#REF!</definedName>
    <definedName name="Tg_Reestr" localSheetId="29">#REF!</definedName>
    <definedName name="Tg_Reestr" localSheetId="11">#REF!</definedName>
    <definedName name="Tg_Reestr" localSheetId="10">#REF!</definedName>
    <definedName name="Tg_Reestr" localSheetId="8">#REF!</definedName>
    <definedName name="Tg_Reestr" localSheetId="16">#REF!</definedName>
    <definedName name="Tg_Reestr" localSheetId="5">#REF!</definedName>
    <definedName name="Tg_Reestr" localSheetId="9">#REF!</definedName>
    <definedName name="Tg_Reestr" localSheetId="30">#REF!</definedName>
    <definedName name="Tg_Reestr" localSheetId="31">#REF!</definedName>
    <definedName name="Tg_Reestr" localSheetId="6">#REF!</definedName>
    <definedName name="Tg_Reestr" localSheetId="26">#REF!</definedName>
    <definedName name="Tg_Reestr" localSheetId="13">#REF!</definedName>
    <definedName name="Tg_Reestr" localSheetId="12">#REF!</definedName>
    <definedName name="Tg_Reestr" localSheetId="27">#REF!</definedName>
    <definedName name="Tg_Reestr">#REF!</definedName>
    <definedName name="TgDs" localSheetId="28">#REF!</definedName>
    <definedName name="TgDs" localSheetId="3">#REF!</definedName>
    <definedName name="TgDs" localSheetId="1">#REF!</definedName>
    <definedName name="TgDs" localSheetId="2">#REF!</definedName>
    <definedName name="TgDs" localSheetId="14">#REF!</definedName>
    <definedName name="TgDs" localSheetId="15">#REF!</definedName>
    <definedName name="TgDs" localSheetId="25">#REF!</definedName>
    <definedName name="TgDs" localSheetId="18">#REF!</definedName>
    <definedName name="TgDs" localSheetId="17">#REF!</definedName>
    <definedName name="TgDs" localSheetId="29">#REF!</definedName>
    <definedName name="TgDs" localSheetId="11">#REF!</definedName>
    <definedName name="TgDs" localSheetId="10">#REF!</definedName>
    <definedName name="TgDs" localSheetId="8">#REF!</definedName>
    <definedName name="TgDs" localSheetId="16">#REF!</definedName>
    <definedName name="TgDs" localSheetId="5">#REF!</definedName>
    <definedName name="TgDs" localSheetId="9">#REF!</definedName>
    <definedName name="TgDs" localSheetId="31">#REF!</definedName>
    <definedName name="TgDs" localSheetId="6">#REF!</definedName>
    <definedName name="TgDs" localSheetId="26">#REF!</definedName>
    <definedName name="TgDs" localSheetId="13">#REF!</definedName>
    <definedName name="TgDs" localSheetId="12">#REF!</definedName>
    <definedName name="TgDs" localSheetId="27">#REF!</definedName>
    <definedName name="TgDs">#REF!</definedName>
    <definedName name="TgSMP" localSheetId="28">#REF!</definedName>
    <definedName name="TgSMP" localSheetId="1">#REF!</definedName>
    <definedName name="TgSMP" localSheetId="14">#REF!</definedName>
    <definedName name="TgSMP" localSheetId="15">#REF!</definedName>
    <definedName name="TgSMP" localSheetId="25">#REF!</definedName>
    <definedName name="TgSMP" localSheetId="18">#REF!</definedName>
    <definedName name="TgSMP" localSheetId="17">#REF!</definedName>
    <definedName name="TgSMP" localSheetId="29">#REF!</definedName>
    <definedName name="TgSMP" localSheetId="11">#REF!</definedName>
    <definedName name="TgSMP" localSheetId="10">#REF!</definedName>
    <definedName name="TgSMP" localSheetId="8">#REF!</definedName>
    <definedName name="TgSMP" localSheetId="16">#REF!</definedName>
    <definedName name="TgSMP" localSheetId="5">#REF!</definedName>
    <definedName name="TgSMP" localSheetId="9">#REF!</definedName>
    <definedName name="TgSMP" localSheetId="31">#REF!</definedName>
    <definedName name="TgSMP" localSheetId="6">#REF!</definedName>
    <definedName name="TgSMP" localSheetId="26">#REF!</definedName>
    <definedName name="TgSMP" localSheetId="13">#REF!</definedName>
    <definedName name="TgSMP" localSheetId="12">#REF!</definedName>
    <definedName name="TgSMP" localSheetId="27">#REF!</definedName>
    <definedName name="TgSMP">#REF!</definedName>
    <definedName name="XLRPARAMS_ISP_FIO" localSheetId="28" hidden="1">[1]XLR_NoRangeSheet!$B$6</definedName>
    <definedName name="XLRPARAMS_ISP_FIO" localSheetId="3" hidden="1">[1]XLR_NoRangeSheet!$B$6</definedName>
    <definedName name="XLRPARAMS_ISP_FIO" localSheetId="1" hidden="1">[1]XLR_NoRangeSheet!$B$6</definedName>
    <definedName name="XLRPARAMS_ISP_FIO" localSheetId="7" hidden="1">[2]XLR_NoRangeSheet!$B$6</definedName>
    <definedName name="XLRPARAMS_ISP_FIO" localSheetId="14" hidden="1">[1]XLR_NoRangeSheet!$B$6</definedName>
    <definedName name="XLRPARAMS_ISP_FIO" localSheetId="15" hidden="1">[1]XLR_NoRangeSheet!$B$6</definedName>
    <definedName name="XLRPARAMS_ISP_FIO" localSheetId="25" hidden="1">[2]XLR_NoRangeSheet!$B$6</definedName>
    <definedName name="XLRPARAMS_ISP_FIO" localSheetId="18" hidden="1">[3]XLR_NoRangeSheet!$B$6</definedName>
    <definedName name="XLRPARAMS_ISP_FIO" localSheetId="17" hidden="1">[2]XLR_NoRangeSheet!$B$6</definedName>
    <definedName name="XLRPARAMS_ISP_FIO" localSheetId="0" hidden="1">[1]XLR_NoRangeSheet!$B$6</definedName>
    <definedName name="XLRPARAMS_ISP_FIO" localSheetId="29" hidden="1">[1]XLR_NoRangeSheet!$B$6</definedName>
    <definedName name="XLRPARAMS_ISP_FIO" localSheetId="11" hidden="1">[1]XLR_NoRangeSheet!$B$6</definedName>
    <definedName name="XLRPARAMS_ISP_FIO" localSheetId="10" hidden="1">[1]XLR_NoRangeSheet!$B$6</definedName>
    <definedName name="XLRPARAMS_ISP_FIO" localSheetId="8" hidden="1">[1]XLR_NoRangeSheet!$B$6</definedName>
    <definedName name="XLRPARAMS_ISP_FIO" localSheetId="16" hidden="1">[1]XLR_NoRangeSheet!$B$6</definedName>
    <definedName name="XLRPARAMS_ISP_FIO" localSheetId="5" hidden="1">[1]XLR_NoRangeSheet!$B$6</definedName>
    <definedName name="XLRPARAMS_ISP_FIO" localSheetId="9" hidden="1">[1]XLR_NoRangeSheet!$B$6</definedName>
    <definedName name="XLRPARAMS_ISP_FIO" localSheetId="30" hidden="1">[1]XLR_NoRangeSheet!$B$6</definedName>
    <definedName name="XLRPARAMS_ISP_FIO" localSheetId="31" hidden="1">[1]XLR_NoRangeSheet!$B$6</definedName>
    <definedName name="XLRPARAMS_ISP_FIO" localSheetId="6" hidden="1">[1]XLR_NoRangeSheet!$B$6</definedName>
    <definedName name="XLRPARAMS_ISP_FIO" localSheetId="26" hidden="1">[2]XLR_NoRangeSheet!$B$6</definedName>
    <definedName name="XLRPARAMS_ISP_FIO" localSheetId="13" hidden="1">[2]XLR_NoRangeSheet!$B$6</definedName>
    <definedName name="XLRPARAMS_ISP_FIO" localSheetId="12" hidden="1">[1]XLR_NoRangeSheet!$B$6</definedName>
    <definedName name="XLRPARAMS_ISP_FIO" localSheetId="27" hidden="1">[2]XLR_NoRangeSheet!$B$6</definedName>
    <definedName name="XLRPARAMS_ISP_FIO" hidden="1">[4]XLR_NoRangeSheet!$B$6</definedName>
    <definedName name="XLRPARAMS_MP_NAME" localSheetId="28" hidden="1">[1]XLR_NoRangeSheet!$D$6</definedName>
    <definedName name="XLRPARAMS_MP_NAME" localSheetId="3" hidden="1">[1]XLR_NoRangeSheet!$D$6</definedName>
    <definedName name="XLRPARAMS_MP_NAME" localSheetId="1" hidden="1">[1]XLR_NoRangeSheet!$D$6</definedName>
    <definedName name="XLRPARAMS_MP_NAME" localSheetId="7" hidden="1">[2]XLR_NoRangeSheet!$D$6</definedName>
    <definedName name="XLRPARAMS_MP_NAME" localSheetId="14" hidden="1">[1]XLR_NoRangeSheet!$D$6</definedName>
    <definedName name="XLRPARAMS_MP_NAME" localSheetId="15" hidden="1">[1]XLR_NoRangeSheet!$D$6</definedName>
    <definedName name="XLRPARAMS_MP_NAME" localSheetId="25" hidden="1">[2]XLR_NoRangeSheet!$D$6</definedName>
    <definedName name="XLRPARAMS_MP_NAME" localSheetId="18" hidden="1">[3]XLR_NoRangeSheet!$D$6</definedName>
    <definedName name="XLRPARAMS_MP_NAME" localSheetId="17" hidden="1">[2]XLR_NoRangeSheet!$D$6</definedName>
    <definedName name="XLRPARAMS_MP_NAME" localSheetId="0" hidden="1">[1]XLR_NoRangeSheet!$D$6</definedName>
    <definedName name="XLRPARAMS_MP_NAME" localSheetId="29" hidden="1">[1]XLR_NoRangeSheet!$D$6</definedName>
    <definedName name="XLRPARAMS_MP_NAME" localSheetId="11" hidden="1">[1]XLR_NoRangeSheet!$D$6</definedName>
    <definedName name="XLRPARAMS_MP_NAME" localSheetId="10" hidden="1">[1]XLR_NoRangeSheet!$D$6</definedName>
    <definedName name="XLRPARAMS_MP_NAME" localSheetId="8" hidden="1">[1]XLR_NoRangeSheet!$D$6</definedName>
    <definedName name="XLRPARAMS_MP_NAME" localSheetId="16" hidden="1">[1]XLR_NoRangeSheet!$D$6</definedName>
    <definedName name="XLRPARAMS_MP_NAME" localSheetId="5" hidden="1">[1]XLR_NoRangeSheet!$D$6</definedName>
    <definedName name="XLRPARAMS_MP_NAME" localSheetId="9" hidden="1">[1]XLR_NoRangeSheet!$D$6</definedName>
    <definedName name="XLRPARAMS_MP_NAME" localSheetId="30" hidden="1">[1]XLR_NoRangeSheet!$D$6</definedName>
    <definedName name="XLRPARAMS_MP_NAME" localSheetId="31" hidden="1">[1]XLR_NoRangeSheet!$D$6</definedName>
    <definedName name="XLRPARAMS_MP_NAME" localSheetId="6" hidden="1">[1]XLR_NoRangeSheet!$D$6</definedName>
    <definedName name="XLRPARAMS_MP_NAME" localSheetId="26" hidden="1">[2]XLR_NoRangeSheet!$D$6</definedName>
    <definedName name="XLRPARAMS_MP_NAME" localSheetId="13" hidden="1">[2]XLR_NoRangeSheet!$D$6</definedName>
    <definedName name="XLRPARAMS_MP_NAME" localSheetId="12" hidden="1">[1]XLR_NoRangeSheet!$D$6</definedName>
    <definedName name="XLRPARAMS_MP_NAME" localSheetId="27" hidden="1">[2]XLR_NoRangeSheet!$D$6</definedName>
    <definedName name="XLRPARAMS_MP_NAME" hidden="1">[4]XLR_NoRangeSheet!$D$6</definedName>
    <definedName name="XLRPARAMS_STR_PERIOD" localSheetId="28" hidden="1">[1]XLR_NoRangeSheet!$C$6</definedName>
    <definedName name="XLRPARAMS_STR_PERIOD" localSheetId="3" hidden="1">[1]XLR_NoRangeSheet!$C$6</definedName>
    <definedName name="XLRPARAMS_STR_PERIOD" localSheetId="1" hidden="1">[1]XLR_NoRangeSheet!$C$6</definedName>
    <definedName name="XLRPARAMS_STR_PERIOD" localSheetId="7" hidden="1">[2]XLR_NoRangeSheet!$C$6</definedName>
    <definedName name="XLRPARAMS_STR_PERIOD" localSheetId="14" hidden="1">[1]XLR_NoRangeSheet!$C$6</definedName>
    <definedName name="XLRPARAMS_STR_PERIOD" localSheetId="15" hidden="1">[1]XLR_NoRangeSheet!$C$6</definedName>
    <definedName name="XLRPARAMS_STR_PERIOD" localSheetId="25" hidden="1">[2]XLR_NoRangeSheet!$C$6</definedName>
    <definedName name="XLRPARAMS_STR_PERIOD" localSheetId="18" hidden="1">[3]XLR_NoRangeSheet!$C$6</definedName>
    <definedName name="XLRPARAMS_STR_PERIOD" localSheetId="17" hidden="1">[2]XLR_NoRangeSheet!$C$6</definedName>
    <definedName name="XLRPARAMS_STR_PERIOD" localSheetId="0" hidden="1">[1]XLR_NoRangeSheet!$C$6</definedName>
    <definedName name="XLRPARAMS_STR_PERIOD" localSheetId="29" hidden="1">[1]XLR_NoRangeSheet!$C$6</definedName>
    <definedName name="XLRPARAMS_STR_PERIOD" localSheetId="11" hidden="1">[1]XLR_NoRangeSheet!$C$6</definedName>
    <definedName name="XLRPARAMS_STR_PERIOD" localSheetId="10" hidden="1">[1]XLR_NoRangeSheet!$C$6</definedName>
    <definedName name="XLRPARAMS_STR_PERIOD" localSheetId="8" hidden="1">[1]XLR_NoRangeSheet!$C$6</definedName>
    <definedName name="XLRPARAMS_STR_PERIOD" localSheetId="16" hidden="1">[1]XLR_NoRangeSheet!$C$6</definedName>
    <definedName name="XLRPARAMS_STR_PERIOD" localSheetId="5" hidden="1">[1]XLR_NoRangeSheet!$C$6</definedName>
    <definedName name="XLRPARAMS_STR_PERIOD" localSheetId="9" hidden="1">[1]XLR_NoRangeSheet!$C$6</definedName>
    <definedName name="XLRPARAMS_STR_PERIOD" localSheetId="30" hidden="1">[1]XLR_NoRangeSheet!$C$6</definedName>
    <definedName name="XLRPARAMS_STR_PERIOD" localSheetId="31" hidden="1">[1]XLR_NoRangeSheet!$C$6</definedName>
    <definedName name="XLRPARAMS_STR_PERIOD" localSheetId="6" hidden="1">[1]XLR_NoRangeSheet!$C$6</definedName>
    <definedName name="XLRPARAMS_STR_PERIOD" localSheetId="26" hidden="1">[2]XLR_NoRangeSheet!$C$6</definedName>
    <definedName name="XLRPARAMS_STR_PERIOD" localSheetId="13" hidden="1">[2]XLR_NoRangeSheet!$C$6</definedName>
    <definedName name="XLRPARAMS_STR_PERIOD" localSheetId="12" hidden="1">[1]XLR_NoRangeSheet!$C$6</definedName>
    <definedName name="XLRPARAMS_STR_PERIOD" localSheetId="27" hidden="1">[2]XLR_NoRangeSheet!$C$6</definedName>
    <definedName name="XLRPARAMS_STR_PERIOD" hidden="1">[4]XLR_NoRangeSheet!$C$6</definedName>
    <definedName name="апп" localSheetId="28">#REF!</definedName>
    <definedName name="апп" localSheetId="3">#REF!</definedName>
    <definedName name="апп" localSheetId="1">#REF!</definedName>
    <definedName name="апп" localSheetId="7">#REF!</definedName>
    <definedName name="апп" localSheetId="14">#REF!</definedName>
    <definedName name="апп" localSheetId="15">#REF!</definedName>
    <definedName name="апп" localSheetId="25">#REF!</definedName>
    <definedName name="апп" localSheetId="18">#REF!</definedName>
    <definedName name="апп" localSheetId="17">#REF!</definedName>
    <definedName name="апп" localSheetId="29">#REF!</definedName>
    <definedName name="апп" localSheetId="11">#REF!</definedName>
    <definedName name="апп" localSheetId="10">#REF!</definedName>
    <definedName name="апп" localSheetId="8">#REF!</definedName>
    <definedName name="апп" localSheetId="16">#REF!</definedName>
    <definedName name="апп" localSheetId="5">#REF!</definedName>
    <definedName name="апп" localSheetId="9">#REF!</definedName>
    <definedName name="апп" localSheetId="31">#REF!</definedName>
    <definedName name="апп" localSheetId="6">#REF!</definedName>
    <definedName name="апп" localSheetId="26">#REF!</definedName>
    <definedName name="апп" localSheetId="13">#REF!</definedName>
    <definedName name="апп" localSheetId="12">#REF!</definedName>
    <definedName name="апп" localSheetId="27">#REF!</definedName>
    <definedName name="апп">#REF!</definedName>
    <definedName name="_xlnm.Database" localSheetId="28">#REF!</definedName>
    <definedName name="_xlnm.Database" localSheetId="3">#REF!</definedName>
    <definedName name="_xlnm.Database" localSheetId="1">#REF!</definedName>
    <definedName name="_xlnm.Database" localSheetId="7">#REF!</definedName>
    <definedName name="_xlnm.Database" localSheetId="14">#REF!</definedName>
    <definedName name="_xlnm.Database" localSheetId="15">#REF!</definedName>
    <definedName name="_xlnm.Database" localSheetId="25">#REF!</definedName>
    <definedName name="_xlnm.Database" localSheetId="18">#REF!</definedName>
    <definedName name="_xlnm.Database" localSheetId="17">#REF!</definedName>
    <definedName name="_xlnm.Database" localSheetId="29">#REF!</definedName>
    <definedName name="_xlnm.Database" localSheetId="11">#REF!</definedName>
    <definedName name="_xlnm.Database" localSheetId="10">#REF!</definedName>
    <definedName name="_xlnm.Database" localSheetId="8">#REF!</definedName>
    <definedName name="_xlnm.Database" localSheetId="16">#REF!</definedName>
    <definedName name="_xlnm.Database" localSheetId="5">#REF!</definedName>
    <definedName name="_xlnm.Database" localSheetId="9">#REF!</definedName>
    <definedName name="_xlnm.Database" localSheetId="30">#REF!</definedName>
    <definedName name="_xlnm.Database" localSheetId="31">#REF!</definedName>
    <definedName name="_xlnm.Database" localSheetId="6">#REF!</definedName>
    <definedName name="_xlnm.Database" localSheetId="26">#REF!</definedName>
    <definedName name="_xlnm.Database" localSheetId="13">#REF!</definedName>
    <definedName name="_xlnm.Database" localSheetId="12">#REF!</definedName>
    <definedName name="_xlnm.Database" localSheetId="27">#REF!</definedName>
    <definedName name="_xlnm.Database">#REF!</definedName>
    <definedName name="Д" localSheetId="28">[5]Данные!$B$1:$EF$178</definedName>
    <definedName name="Д" localSheetId="3">[5]Данные!$B$1:$EF$178</definedName>
    <definedName name="Д" localSheetId="1">[6]Данные!$B$1:$EF$178</definedName>
    <definedName name="Д" localSheetId="14">[6]Данные!$B$1:$EF$178</definedName>
    <definedName name="Д" localSheetId="15">[5]Данные!$B$1:$EF$178</definedName>
    <definedName name="Д" localSheetId="25">[6]Данные!$B$1:$EF$178</definedName>
    <definedName name="Д" localSheetId="0">[6]Данные!$B$1:$EF$178</definedName>
    <definedName name="Д" localSheetId="29">[5]Данные!$B$1:$EF$178</definedName>
    <definedName name="Д" localSheetId="11">[7]Данные!$B$1:$EF$178</definedName>
    <definedName name="Д" localSheetId="10">[5]Данные!$B$1:$EF$178</definedName>
    <definedName name="Д" localSheetId="8">[5]Данные!$B$1:$EF$178</definedName>
    <definedName name="Д" localSheetId="16">[5]Данные!$B$1:$EF$178</definedName>
    <definedName name="Д" localSheetId="5">[7]Данные!$B$1:$EF$178</definedName>
    <definedName name="Д" localSheetId="9">[8]Данные!$B$1:$EF$178</definedName>
    <definedName name="Д" localSheetId="30">[6]Данные!$B$1:$EF$178</definedName>
    <definedName name="Д" localSheetId="31">[5]Данные!$B$1:$EF$178</definedName>
    <definedName name="Д" localSheetId="6">[5]Данные!$B$1:$EF$178</definedName>
    <definedName name="Д" localSheetId="26">[6]Данные!$B$1:$EF$178</definedName>
    <definedName name="Д" localSheetId="13">[7]Данные!$B$1:$EF$178</definedName>
    <definedName name="Д" localSheetId="12">[5]Данные!$B$1:$EF$178</definedName>
    <definedName name="Д" localSheetId="27">[5]Данные!$B$1:$EF$178</definedName>
    <definedName name="Д">[6]Данные!$B$1:$EF$178</definedName>
    <definedName name="ж0" localSheetId="7">'[9]0-2'!$E:$F</definedName>
    <definedName name="ж0" localSheetId="15">'[9]0-2'!$E:$F</definedName>
    <definedName name="ж0" localSheetId="18">'[10]0-2'!$E:$F</definedName>
    <definedName name="ж0" localSheetId="17">'[9]0-2'!$E:$F</definedName>
    <definedName name="ж0" localSheetId="11">'[10]0-2'!$E:$F</definedName>
    <definedName name="ж0" localSheetId="10">'[10]0-2'!$E:$F</definedName>
    <definedName name="ж0" localSheetId="8">'[10]0-2'!$E:$F</definedName>
    <definedName name="ж0" localSheetId="5">'[10]0-2'!$E:$F</definedName>
    <definedName name="ж0" localSheetId="9">'[10]0-2'!$E:$F</definedName>
    <definedName name="ж0" localSheetId="6">'[10]0-2'!$E:$F</definedName>
    <definedName name="ж0" localSheetId="12">'[10]0-2'!$E:$F</definedName>
    <definedName name="ж0">'[11]0-2'!$E:$F</definedName>
    <definedName name="ж1" localSheetId="7">'[9]0-2'!$I:$J</definedName>
    <definedName name="ж1" localSheetId="15">'[9]0-2'!$I:$J</definedName>
    <definedName name="ж1" localSheetId="18">'[10]0-2'!$I:$J</definedName>
    <definedName name="ж1" localSheetId="17">'[9]0-2'!$I:$J</definedName>
    <definedName name="ж1" localSheetId="11">'[10]0-2'!$I:$J</definedName>
    <definedName name="ж1" localSheetId="10">'[10]0-2'!$I:$J</definedName>
    <definedName name="ж1" localSheetId="8">'[10]0-2'!$I:$J</definedName>
    <definedName name="ж1" localSheetId="5">'[10]0-2'!$I:$J</definedName>
    <definedName name="ж1" localSheetId="9">'[10]0-2'!$I:$J</definedName>
    <definedName name="ж1" localSheetId="6">'[10]0-2'!$I:$J</definedName>
    <definedName name="ж1" localSheetId="12">'[10]0-2'!$I:$J</definedName>
    <definedName name="ж1">'[11]0-2'!$I:$J</definedName>
    <definedName name="ж10" localSheetId="7">'[12]2+'!$AK:$AL</definedName>
    <definedName name="ж10" localSheetId="15">'[12]2+'!$AK:$AL</definedName>
    <definedName name="ж10" localSheetId="18">'[13]2+'!$AK:$AL</definedName>
    <definedName name="ж10" localSheetId="17">'[12]2+'!$AK:$AL</definedName>
    <definedName name="ж10" localSheetId="11">'[13]2+'!$AK:$AL</definedName>
    <definedName name="ж10" localSheetId="10">'[13]2+'!$AK:$AL</definedName>
    <definedName name="ж10" localSheetId="8">'[13]2+'!$AK:$AL</definedName>
    <definedName name="ж10" localSheetId="5">'[13]2+'!$AK:$AL</definedName>
    <definedName name="ж10" localSheetId="9">'[13]2+'!$AK:$AL</definedName>
    <definedName name="ж10" localSheetId="6">'[13]2+'!$AK:$AL</definedName>
    <definedName name="ж10" localSheetId="12">'[13]2+'!$AK:$AL</definedName>
    <definedName name="ж10">'[14]2+'!$AK:$AL</definedName>
    <definedName name="ж100" localSheetId="7">'[12]2+'!$OG:$OH</definedName>
    <definedName name="ж100" localSheetId="15">'[12]2+'!$OG:$OH</definedName>
    <definedName name="ж100" localSheetId="18">'[13]2+'!$OG:$OH</definedName>
    <definedName name="ж100" localSheetId="17">'[12]2+'!$OG:$OH</definedName>
    <definedName name="ж100" localSheetId="11">'[13]2+'!$OG:$OH</definedName>
    <definedName name="ж100" localSheetId="10">'[13]2+'!$OG:$OH</definedName>
    <definedName name="ж100" localSheetId="8">'[13]2+'!$OG:$OH</definedName>
    <definedName name="ж100" localSheetId="5">'[13]2+'!$OG:$OH</definedName>
    <definedName name="ж100" localSheetId="9">'[13]2+'!$OG:$OH</definedName>
    <definedName name="ж100" localSheetId="6">'[13]2+'!$OG:$OH</definedName>
    <definedName name="ж100" localSheetId="12">'[13]2+'!$OG:$OH</definedName>
    <definedName name="ж100">'[14]2+'!$OG:$OH</definedName>
    <definedName name="ж101" localSheetId="7">'[12]2+'!$OK:$OL</definedName>
    <definedName name="ж101" localSheetId="15">'[12]2+'!$OK:$OL</definedName>
    <definedName name="ж101" localSheetId="18">'[13]2+'!$OK:$OL</definedName>
    <definedName name="ж101" localSheetId="17">'[12]2+'!$OK:$OL</definedName>
    <definedName name="ж101" localSheetId="11">'[13]2+'!$OK:$OL</definedName>
    <definedName name="ж101" localSheetId="10">'[13]2+'!$OK:$OL</definedName>
    <definedName name="ж101" localSheetId="8">'[13]2+'!$OK:$OL</definedName>
    <definedName name="ж101" localSheetId="5">'[13]2+'!$OK:$OL</definedName>
    <definedName name="ж101" localSheetId="9">'[13]2+'!$OK:$OL</definedName>
    <definedName name="ж101" localSheetId="6">'[13]2+'!$OK:$OL</definedName>
    <definedName name="ж101" localSheetId="12">'[13]2+'!$OK:$OL</definedName>
    <definedName name="ж101">'[14]2+'!$OK:$OL</definedName>
    <definedName name="ж102" localSheetId="7">'[12]2+'!$OO:$OP</definedName>
    <definedName name="ж102" localSheetId="15">'[12]2+'!$OO:$OP</definedName>
    <definedName name="ж102" localSheetId="18">'[13]2+'!$OO:$OP</definedName>
    <definedName name="ж102" localSheetId="17">'[12]2+'!$OO:$OP</definedName>
    <definedName name="ж102" localSheetId="11">'[13]2+'!$OO:$OP</definedName>
    <definedName name="ж102" localSheetId="10">'[13]2+'!$OO:$OP</definedName>
    <definedName name="ж102" localSheetId="8">'[13]2+'!$OO:$OP</definedName>
    <definedName name="ж102" localSheetId="5">'[13]2+'!$OO:$OP</definedName>
    <definedName name="ж102" localSheetId="9">'[13]2+'!$OO:$OP</definedName>
    <definedName name="ж102" localSheetId="6">'[13]2+'!$OO:$OP</definedName>
    <definedName name="ж102" localSheetId="12">'[13]2+'!$OO:$OP</definedName>
    <definedName name="ж102">'[14]2+'!$OO:$OP</definedName>
    <definedName name="ж103" localSheetId="7">'[12]2+'!$OS:$OT</definedName>
    <definedName name="ж103" localSheetId="15">'[12]2+'!$OS:$OT</definedName>
    <definedName name="ж103" localSheetId="18">'[13]2+'!$OS:$OT</definedName>
    <definedName name="ж103" localSheetId="17">'[12]2+'!$OS:$OT</definedName>
    <definedName name="ж103" localSheetId="11">'[13]2+'!$OS:$OT</definedName>
    <definedName name="ж103" localSheetId="10">'[13]2+'!$OS:$OT</definedName>
    <definedName name="ж103" localSheetId="8">'[13]2+'!$OS:$OT</definedName>
    <definedName name="ж103" localSheetId="5">'[13]2+'!$OS:$OT</definedName>
    <definedName name="ж103" localSheetId="9">'[13]2+'!$OS:$OT</definedName>
    <definedName name="ж103" localSheetId="6">'[13]2+'!$OS:$OT</definedName>
    <definedName name="ж103" localSheetId="12">'[13]2+'!$OS:$OT</definedName>
    <definedName name="ж103">'[14]2+'!$OS:$OT</definedName>
    <definedName name="ж104" localSheetId="7">'[12]2+'!$OW:$OX</definedName>
    <definedName name="ж104" localSheetId="15">'[12]2+'!$OW:$OX</definedName>
    <definedName name="ж104" localSheetId="18">'[13]2+'!$OW:$OX</definedName>
    <definedName name="ж104" localSheetId="17">'[12]2+'!$OW:$OX</definedName>
    <definedName name="ж104" localSheetId="11">'[13]2+'!$OW:$OX</definedName>
    <definedName name="ж104" localSheetId="10">'[13]2+'!$OW:$OX</definedName>
    <definedName name="ж104" localSheetId="8">'[13]2+'!$OW:$OX</definedName>
    <definedName name="ж104" localSheetId="5">'[13]2+'!$OW:$OX</definedName>
    <definedName name="ж104" localSheetId="9">'[13]2+'!$OW:$OX</definedName>
    <definedName name="ж104" localSheetId="6">'[13]2+'!$OW:$OX</definedName>
    <definedName name="ж104" localSheetId="12">'[13]2+'!$OW:$OX</definedName>
    <definedName name="ж104">'[14]2+'!$OW:$OX</definedName>
    <definedName name="ж105" localSheetId="7">'[12]2+'!$PA:$PB</definedName>
    <definedName name="ж105" localSheetId="15">'[12]2+'!$PA:$PB</definedName>
    <definedName name="ж105" localSheetId="18">'[13]2+'!$PA:$PB</definedName>
    <definedName name="ж105" localSheetId="17">'[12]2+'!$PA:$PB</definedName>
    <definedName name="ж105" localSheetId="11">'[13]2+'!$PA:$PB</definedName>
    <definedName name="ж105" localSheetId="10">'[13]2+'!$PA:$PB</definedName>
    <definedName name="ж105" localSheetId="8">'[13]2+'!$PA:$PB</definedName>
    <definedName name="ж105" localSheetId="5">'[13]2+'!$PA:$PB</definedName>
    <definedName name="ж105" localSheetId="9">'[13]2+'!$PA:$PB</definedName>
    <definedName name="ж105" localSheetId="6">'[13]2+'!$PA:$PB</definedName>
    <definedName name="ж105" localSheetId="12">'[13]2+'!$PA:$PB</definedName>
    <definedName name="ж105">'[14]2+'!$PA:$PB</definedName>
    <definedName name="ж106" localSheetId="7">'[12]2+'!$PE:$PF</definedName>
    <definedName name="ж106" localSheetId="15">'[12]2+'!$PE:$PF</definedName>
    <definedName name="ж106" localSheetId="18">'[13]2+'!$PE:$PF</definedName>
    <definedName name="ж106" localSheetId="17">'[12]2+'!$PE:$PF</definedName>
    <definedName name="ж106" localSheetId="11">'[13]2+'!$PE:$PF</definedName>
    <definedName name="ж106" localSheetId="10">'[13]2+'!$PE:$PF</definedName>
    <definedName name="ж106" localSheetId="8">'[13]2+'!$PE:$PF</definedName>
    <definedName name="ж106" localSheetId="5">'[13]2+'!$PE:$PF</definedName>
    <definedName name="ж106" localSheetId="9">'[13]2+'!$PE:$PF</definedName>
    <definedName name="ж106" localSheetId="6">'[13]2+'!$PE:$PF</definedName>
    <definedName name="ж106" localSheetId="12">'[13]2+'!$PE:$PF</definedName>
    <definedName name="ж106">'[14]2+'!$PE:$PF</definedName>
    <definedName name="ж107" localSheetId="7">'[12]2+'!$PI:$PJ</definedName>
    <definedName name="ж107" localSheetId="15">'[12]2+'!$PI:$PJ</definedName>
    <definedName name="ж107" localSheetId="18">'[13]2+'!$PI:$PJ</definedName>
    <definedName name="ж107" localSheetId="17">'[12]2+'!$PI:$PJ</definedName>
    <definedName name="ж107" localSheetId="11">'[13]2+'!$PI:$PJ</definedName>
    <definedName name="ж107" localSheetId="10">'[13]2+'!$PI:$PJ</definedName>
    <definedName name="ж107" localSheetId="8">'[13]2+'!$PI:$PJ</definedName>
    <definedName name="ж107" localSheetId="5">'[13]2+'!$PI:$PJ</definedName>
    <definedName name="ж107" localSheetId="9">'[13]2+'!$PI:$PJ</definedName>
    <definedName name="ж107" localSheetId="6">'[13]2+'!$PI:$PJ</definedName>
    <definedName name="ж107" localSheetId="12">'[13]2+'!$PI:$PJ</definedName>
    <definedName name="ж107">'[14]2+'!$PI:$PJ</definedName>
    <definedName name="ж108" localSheetId="7">'[12]2+'!$PM:$PN</definedName>
    <definedName name="ж108" localSheetId="15">'[12]2+'!$PM:$PN</definedName>
    <definedName name="ж108" localSheetId="18">'[13]2+'!$PM:$PN</definedName>
    <definedName name="ж108" localSheetId="17">'[12]2+'!$PM:$PN</definedName>
    <definedName name="ж108" localSheetId="11">'[13]2+'!$PM:$PN</definedName>
    <definedName name="ж108" localSheetId="10">'[13]2+'!$PM:$PN</definedName>
    <definedName name="ж108" localSheetId="8">'[13]2+'!$PM:$PN</definedName>
    <definedName name="ж108" localSheetId="5">'[13]2+'!$PM:$PN</definedName>
    <definedName name="ж108" localSheetId="9">'[13]2+'!$PM:$PN</definedName>
    <definedName name="ж108" localSheetId="6">'[13]2+'!$PM:$PN</definedName>
    <definedName name="ж108" localSheetId="12">'[13]2+'!$PM:$PN</definedName>
    <definedName name="ж108">'[14]2+'!$PM:$PN</definedName>
    <definedName name="ж109" localSheetId="7">'[12]2+'!$PQ:$PR</definedName>
    <definedName name="ж109" localSheetId="15">'[12]2+'!$PQ:$PR</definedName>
    <definedName name="ж109" localSheetId="18">'[13]2+'!$PQ:$PR</definedName>
    <definedName name="ж109" localSheetId="17">'[12]2+'!$PQ:$PR</definedName>
    <definedName name="ж109" localSheetId="11">'[13]2+'!$PQ:$PR</definedName>
    <definedName name="ж109" localSheetId="10">'[13]2+'!$PQ:$PR</definedName>
    <definedName name="ж109" localSheetId="8">'[13]2+'!$PQ:$PR</definedName>
    <definedName name="ж109" localSheetId="5">'[13]2+'!$PQ:$PR</definedName>
    <definedName name="ж109" localSheetId="9">'[13]2+'!$PQ:$PR</definedName>
    <definedName name="ж109" localSheetId="6">'[13]2+'!$PQ:$PR</definedName>
    <definedName name="ж109" localSheetId="12">'[13]2+'!$PQ:$PR</definedName>
    <definedName name="ж109">'[14]2+'!$PQ:$PR</definedName>
    <definedName name="ж11" localSheetId="7">'[12]2+'!$AO:$AP</definedName>
    <definedName name="ж11" localSheetId="15">'[12]2+'!$AO:$AP</definedName>
    <definedName name="ж11" localSheetId="18">'[13]2+'!$AO:$AP</definedName>
    <definedName name="ж11" localSheetId="17">'[12]2+'!$AO:$AP</definedName>
    <definedName name="ж11" localSheetId="11">'[13]2+'!$AO:$AP</definedName>
    <definedName name="ж11" localSheetId="10">'[13]2+'!$AO:$AP</definedName>
    <definedName name="ж11" localSheetId="8">'[13]2+'!$AO:$AP</definedName>
    <definedName name="ж11" localSheetId="5">'[13]2+'!$AO:$AP</definedName>
    <definedName name="ж11" localSheetId="9">'[13]2+'!$AO:$AP</definedName>
    <definedName name="ж11" localSheetId="6">'[13]2+'!$AO:$AP</definedName>
    <definedName name="ж11" localSheetId="12">'[13]2+'!$AO:$AP</definedName>
    <definedName name="ж11">'[14]2+'!$AO:$AP</definedName>
    <definedName name="ж110" localSheetId="7">'[12]2+'!$PU:$PV</definedName>
    <definedName name="ж110" localSheetId="15">'[12]2+'!$PU:$PV</definedName>
    <definedName name="ж110" localSheetId="18">'[13]2+'!$PU:$PV</definedName>
    <definedName name="ж110" localSheetId="17">'[12]2+'!$PU:$PV</definedName>
    <definedName name="ж110" localSheetId="11">'[13]2+'!$PU:$PV</definedName>
    <definedName name="ж110" localSheetId="10">'[13]2+'!$PU:$PV</definedName>
    <definedName name="ж110" localSheetId="8">'[13]2+'!$PU:$PV</definedName>
    <definedName name="ж110" localSheetId="5">'[13]2+'!$PU:$PV</definedName>
    <definedName name="ж110" localSheetId="9">'[13]2+'!$PU:$PV</definedName>
    <definedName name="ж110" localSheetId="6">'[13]2+'!$PU:$PV</definedName>
    <definedName name="ж110" localSheetId="12">'[13]2+'!$PU:$PV</definedName>
    <definedName name="ж110">'[14]2+'!$PU:$PV</definedName>
    <definedName name="ж111" localSheetId="7">'[12]2+'!$PY:$PZ</definedName>
    <definedName name="ж111" localSheetId="15">'[12]2+'!$PY:$PZ</definedName>
    <definedName name="ж111" localSheetId="18">'[13]2+'!$PY:$PZ</definedName>
    <definedName name="ж111" localSheetId="17">'[12]2+'!$PY:$PZ</definedName>
    <definedName name="ж111" localSheetId="11">'[13]2+'!$PY:$PZ</definedName>
    <definedName name="ж111" localSheetId="10">'[13]2+'!$PY:$PZ</definedName>
    <definedName name="ж111" localSheetId="8">'[13]2+'!$PY:$PZ</definedName>
    <definedName name="ж111" localSheetId="5">'[13]2+'!$PY:$PZ</definedName>
    <definedName name="ж111" localSheetId="9">'[13]2+'!$PY:$PZ</definedName>
    <definedName name="ж111" localSheetId="6">'[13]2+'!$PY:$PZ</definedName>
    <definedName name="ж111" localSheetId="12">'[13]2+'!$PY:$PZ</definedName>
    <definedName name="ж111">'[14]2+'!$PY:$PZ</definedName>
    <definedName name="ж112" localSheetId="7">'[12]2+'!$QC:$QD</definedName>
    <definedName name="ж112" localSheetId="15">'[12]2+'!$QC:$QD</definedName>
    <definedName name="ж112" localSheetId="18">'[13]2+'!$QC:$QD</definedName>
    <definedName name="ж112" localSheetId="17">'[12]2+'!$QC:$QD</definedName>
    <definedName name="ж112" localSheetId="11">'[13]2+'!$QC:$QD</definedName>
    <definedName name="ж112" localSheetId="10">'[13]2+'!$QC:$QD</definedName>
    <definedName name="ж112" localSheetId="8">'[13]2+'!$QC:$QD</definedName>
    <definedName name="ж112" localSheetId="5">'[13]2+'!$QC:$QD</definedName>
    <definedName name="ж112" localSheetId="9">'[13]2+'!$QC:$QD</definedName>
    <definedName name="ж112" localSheetId="6">'[13]2+'!$QC:$QD</definedName>
    <definedName name="ж112" localSheetId="12">'[13]2+'!$QC:$QD</definedName>
    <definedName name="ж112">'[14]2+'!$QC:$QD</definedName>
    <definedName name="ж12" localSheetId="7">'[12]2+'!$AS:$AT</definedName>
    <definedName name="ж12" localSheetId="15">'[12]2+'!$AS:$AT</definedName>
    <definedName name="ж12" localSheetId="18">'[13]2+'!$AS:$AT</definedName>
    <definedName name="ж12" localSheetId="17">'[12]2+'!$AS:$AT</definedName>
    <definedName name="ж12" localSheetId="11">'[13]2+'!$AS:$AT</definedName>
    <definedName name="ж12" localSheetId="10">'[13]2+'!$AS:$AT</definedName>
    <definedName name="ж12" localSheetId="8">'[13]2+'!$AS:$AT</definedName>
    <definedName name="ж12" localSheetId="5">'[13]2+'!$AS:$AT</definedName>
    <definedName name="ж12" localSheetId="9">'[13]2+'!$AS:$AT</definedName>
    <definedName name="ж12" localSheetId="6">'[13]2+'!$AS:$AT</definedName>
    <definedName name="ж12" localSheetId="12">'[13]2+'!$AS:$AT</definedName>
    <definedName name="ж12">'[14]2+'!$AS:$AT</definedName>
    <definedName name="ж13" localSheetId="7">'[12]2+'!$AW:$AX</definedName>
    <definedName name="ж13" localSheetId="15">'[12]2+'!$AW:$AX</definedName>
    <definedName name="ж13" localSheetId="18">'[13]2+'!$AW:$AX</definedName>
    <definedName name="ж13" localSheetId="17">'[12]2+'!$AW:$AX</definedName>
    <definedName name="ж13" localSheetId="11">'[13]2+'!$AW:$AX</definedName>
    <definedName name="ж13" localSheetId="10">'[13]2+'!$AW:$AX</definedName>
    <definedName name="ж13" localSheetId="8">'[13]2+'!$AW:$AX</definedName>
    <definedName name="ж13" localSheetId="5">'[13]2+'!$AW:$AX</definedName>
    <definedName name="ж13" localSheetId="9">'[13]2+'!$AW:$AX</definedName>
    <definedName name="ж13" localSheetId="6">'[13]2+'!$AW:$AX</definedName>
    <definedName name="ж13" localSheetId="12">'[13]2+'!$AW:$AX</definedName>
    <definedName name="ж13">'[14]2+'!$AW:$AX</definedName>
    <definedName name="ж14" localSheetId="7">'[12]2+'!$BA:$BB</definedName>
    <definedName name="ж14" localSheetId="15">'[12]2+'!$BA:$BB</definedName>
    <definedName name="ж14" localSheetId="18">'[13]2+'!$BA:$BB</definedName>
    <definedName name="ж14" localSheetId="17">'[12]2+'!$BA:$BB</definedName>
    <definedName name="ж14" localSheetId="11">'[13]2+'!$BA:$BB</definedName>
    <definedName name="ж14" localSheetId="10">'[13]2+'!$BA:$BB</definedName>
    <definedName name="ж14" localSheetId="8">'[13]2+'!$BA:$BB</definedName>
    <definedName name="ж14" localSheetId="5">'[13]2+'!$BA:$BB</definedName>
    <definedName name="ж14" localSheetId="9">'[13]2+'!$BA:$BB</definedName>
    <definedName name="ж14" localSheetId="6">'[13]2+'!$BA:$BB</definedName>
    <definedName name="ж14" localSheetId="12">'[13]2+'!$BA:$BB</definedName>
    <definedName name="ж14">'[14]2+'!$BA:$BB</definedName>
    <definedName name="ж15" localSheetId="7">'[12]2+'!$BE:$BF</definedName>
    <definedName name="ж15" localSheetId="15">'[12]2+'!$BE:$BF</definedName>
    <definedName name="ж15" localSheetId="18">'[13]2+'!$BE:$BF</definedName>
    <definedName name="ж15" localSheetId="17">'[12]2+'!$BE:$BF</definedName>
    <definedName name="ж15" localSheetId="11">'[13]2+'!$BE:$BF</definedName>
    <definedName name="ж15" localSheetId="10">'[13]2+'!$BE:$BF</definedName>
    <definedName name="ж15" localSheetId="8">'[13]2+'!$BE:$BF</definedName>
    <definedName name="ж15" localSheetId="5">'[13]2+'!$BE:$BF</definedName>
    <definedName name="ж15" localSheetId="9">'[13]2+'!$BE:$BF</definedName>
    <definedName name="ж15" localSheetId="6">'[13]2+'!$BE:$BF</definedName>
    <definedName name="ж15" localSheetId="12">'[13]2+'!$BE:$BF</definedName>
    <definedName name="ж15">'[14]2+'!$BE:$BF</definedName>
    <definedName name="ж16" localSheetId="7">'[12]2+'!$BI:$BJ</definedName>
    <definedName name="ж16" localSheetId="15">'[12]2+'!$BI:$BJ</definedName>
    <definedName name="ж16" localSheetId="18">'[13]2+'!$BI:$BJ</definedName>
    <definedName name="ж16" localSheetId="17">'[12]2+'!$BI:$BJ</definedName>
    <definedName name="ж16" localSheetId="11">'[13]2+'!$BI:$BJ</definedName>
    <definedName name="ж16" localSheetId="10">'[13]2+'!$BI:$BJ</definedName>
    <definedName name="ж16" localSheetId="8">'[13]2+'!$BI:$BJ</definedName>
    <definedName name="ж16" localSheetId="5">'[13]2+'!$BI:$BJ</definedName>
    <definedName name="ж16" localSheetId="9">'[13]2+'!$BI:$BJ</definedName>
    <definedName name="ж16" localSheetId="6">'[13]2+'!$BI:$BJ</definedName>
    <definedName name="ж16" localSheetId="12">'[13]2+'!$BI:$BJ</definedName>
    <definedName name="ж16">'[14]2+'!$BI:$BJ</definedName>
    <definedName name="ж17" localSheetId="7">'[12]2+'!$BM:$BN</definedName>
    <definedName name="ж17" localSheetId="15">'[12]2+'!$BM:$BN</definedName>
    <definedName name="ж17" localSheetId="18">'[13]2+'!$BM:$BN</definedName>
    <definedName name="ж17" localSheetId="17">'[12]2+'!$BM:$BN</definedName>
    <definedName name="ж17" localSheetId="11">'[13]2+'!$BM:$BN</definedName>
    <definedName name="ж17" localSheetId="10">'[13]2+'!$BM:$BN</definedName>
    <definedName name="ж17" localSheetId="8">'[13]2+'!$BM:$BN</definedName>
    <definedName name="ж17" localSheetId="5">'[13]2+'!$BM:$BN</definedName>
    <definedName name="ж17" localSheetId="9">'[13]2+'!$BM:$BN</definedName>
    <definedName name="ж17" localSheetId="6">'[13]2+'!$BM:$BN</definedName>
    <definedName name="ж17" localSheetId="12">'[13]2+'!$BM:$BN</definedName>
    <definedName name="ж17">'[14]2+'!$BM:$BN</definedName>
    <definedName name="ж18" localSheetId="7">'[12]2+'!$BQ:$BR</definedName>
    <definedName name="ж18" localSheetId="15">'[12]2+'!$BQ:$BR</definedName>
    <definedName name="ж18" localSheetId="18">'[13]2+'!$BQ:$BR</definedName>
    <definedName name="ж18" localSheetId="17">'[12]2+'!$BQ:$BR</definedName>
    <definedName name="ж18" localSheetId="11">'[13]2+'!$BQ:$BR</definedName>
    <definedName name="ж18" localSheetId="10">'[13]2+'!$BQ:$BR</definedName>
    <definedName name="ж18" localSheetId="8">'[13]2+'!$BQ:$BR</definedName>
    <definedName name="ж18" localSheetId="5">'[13]2+'!$BQ:$BR</definedName>
    <definedName name="ж18" localSheetId="9">'[13]2+'!$BQ:$BR</definedName>
    <definedName name="ж18" localSheetId="6">'[13]2+'!$BQ:$BR</definedName>
    <definedName name="ж18" localSheetId="12">'[13]2+'!$BQ:$BR</definedName>
    <definedName name="ж18">'[14]2+'!$BQ:$BR</definedName>
    <definedName name="ж19" localSheetId="7">'[12]2+'!$BU:$BV</definedName>
    <definedName name="ж19" localSheetId="15">'[12]2+'!$BU:$BV</definedName>
    <definedName name="ж19" localSheetId="18">'[13]2+'!$BU:$BV</definedName>
    <definedName name="ж19" localSheetId="17">'[12]2+'!$BU:$BV</definedName>
    <definedName name="ж19" localSheetId="11">'[13]2+'!$BU:$BV</definedName>
    <definedName name="ж19" localSheetId="10">'[13]2+'!$BU:$BV</definedName>
    <definedName name="ж19" localSheetId="8">'[13]2+'!$BU:$BV</definedName>
    <definedName name="ж19" localSheetId="5">'[13]2+'!$BU:$BV</definedName>
    <definedName name="ж19" localSheetId="9">'[13]2+'!$BU:$BV</definedName>
    <definedName name="ж19" localSheetId="6">'[13]2+'!$BU:$BV</definedName>
    <definedName name="ж19" localSheetId="12">'[13]2+'!$BU:$BV</definedName>
    <definedName name="ж19">'[14]2+'!$BU:$BV</definedName>
    <definedName name="ж2" localSheetId="7">'[12]2+'!$E:$F</definedName>
    <definedName name="ж2" localSheetId="15">'[12]2+'!$E:$F</definedName>
    <definedName name="ж2" localSheetId="18">'[13]2+'!$E:$F</definedName>
    <definedName name="ж2" localSheetId="17">'[12]2+'!$E:$F</definedName>
    <definedName name="ж2" localSheetId="11">'[13]2+'!$E:$F</definedName>
    <definedName name="ж2" localSheetId="10">'[13]2+'!$E:$F</definedName>
    <definedName name="ж2" localSheetId="8">'[13]2+'!$E:$F</definedName>
    <definedName name="ж2" localSheetId="5">'[13]2+'!$E:$F</definedName>
    <definedName name="ж2" localSheetId="9">'[13]2+'!$E:$F</definedName>
    <definedName name="ж2" localSheetId="6">'[13]2+'!$E:$F</definedName>
    <definedName name="ж2" localSheetId="12">'[13]2+'!$E:$F</definedName>
    <definedName name="ж2">'[14]2+'!$E:$F</definedName>
    <definedName name="ж20" localSheetId="7">'[12]2+'!$BY:$BZ</definedName>
    <definedName name="ж20" localSheetId="15">'[12]2+'!$BY:$BZ</definedName>
    <definedName name="ж20" localSheetId="18">'[13]2+'!$BY:$BZ</definedName>
    <definedName name="ж20" localSheetId="17">'[12]2+'!$BY:$BZ</definedName>
    <definedName name="ж20" localSheetId="11">'[13]2+'!$BY:$BZ</definedName>
    <definedName name="ж20" localSheetId="10">'[13]2+'!$BY:$BZ</definedName>
    <definedName name="ж20" localSheetId="8">'[13]2+'!$BY:$BZ</definedName>
    <definedName name="ж20" localSheetId="5">'[13]2+'!$BY:$BZ</definedName>
    <definedName name="ж20" localSheetId="9">'[13]2+'!$BY:$BZ</definedName>
    <definedName name="ж20" localSheetId="6">'[13]2+'!$BY:$BZ</definedName>
    <definedName name="ж20" localSheetId="12">'[13]2+'!$BY:$BZ</definedName>
    <definedName name="ж20">'[14]2+'!$BY:$BZ</definedName>
    <definedName name="ж21" localSheetId="7">'[12]2+'!$CC:$CD</definedName>
    <definedName name="ж21" localSheetId="15">'[12]2+'!$CC:$CD</definedName>
    <definedName name="ж21" localSheetId="18">'[13]2+'!$CC:$CD</definedName>
    <definedName name="ж21" localSheetId="17">'[12]2+'!$CC:$CD</definedName>
    <definedName name="ж21" localSheetId="11">'[13]2+'!$CC:$CD</definedName>
    <definedName name="ж21" localSheetId="10">'[13]2+'!$CC:$CD</definedName>
    <definedName name="ж21" localSheetId="8">'[13]2+'!$CC:$CD</definedName>
    <definedName name="ж21" localSheetId="5">'[13]2+'!$CC:$CD</definedName>
    <definedName name="ж21" localSheetId="9">'[13]2+'!$CC:$CD</definedName>
    <definedName name="ж21" localSheetId="6">'[13]2+'!$CC:$CD</definedName>
    <definedName name="ж21" localSheetId="12">'[13]2+'!$CC:$CD</definedName>
    <definedName name="ж21">'[14]2+'!$CC:$CD</definedName>
    <definedName name="ж22" localSheetId="7">'[12]2+'!$CG:$CH</definedName>
    <definedName name="ж22" localSheetId="15">'[12]2+'!$CG:$CH</definedName>
    <definedName name="ж22" localSheetId="18">'[13]2+'!$CG:$CH</definedName>
    <definedName name="ж22" localSheetId="17">'[12]2+'!$CG:$CH</definedName>
    <definedName name="ж22" localSheetId="11">'[13]2+'!$CG:$CH</definedName>
    <definedName name="ж22" localSheetId="10">'[13]2+'!$CG:$CH</definedName>
    <definedName name="ж22" localSheetId="8">'[13]2+'!$CG:$CH</definedName>
    <definedName name="ж22" localSheetId="5">'[13]2+'!$CG:$CH</definedName>
    <definedName name="ж22" localSheetId="9">'[13]2+'!$CG:$CH</definedName>
    <definedName name="ж22" localSheetId="6">'[13]2+'!$CG:$CH</definedName>
    <definedName name="ж22" localSheetId="12">'[13]2+'!$CG:$CH</definedName>
    <definedName name="ж22">'[14]2+'!$CG:$CH</definedName>
    <definedName name="ж23" localSheetId="7">'[12]2+'!$CK:$CL</definedName>
    <definedName name="ж23" localSheetId="15">'[12]2+'!$CK:$CL</definedName>
    <definedName name="ж23" localSheetId="18">'[13]2+'!$CK:$CL</definedName>
    <definedName name="ж23" localSheetId="17">'[12]2+'!$CK:$CL</definedName>
    <definedName name="ж23" localSheetId="11">'[13]2+'!$CK:$CL</definedName>
    <definedName name="ж23" localSheetId="10">'[13]2+'!$CK:$CL</definedName>
    <definedName name="ж23" localSheetId="8">'[13]2+'!$CK:$CL</definedName>
    <definedName name="ж23" localSheetId="5">'[13]2+'!$CK:$CL</definedName>
    <definedName name="ж23" localSheetId="9">'[13]2+'!$CK:$CL</definedName>
    <definedName name="ж23" localSheetId="6">'[13]2+'!$CK:$CL</definedName>
    <definedName name="ж23" localSheetId="12">'[13]2+'!$CK:$CL</definedName>
    <definedName name="ж23">'[14]2+'!$CK:$CL</definedName>
    <definedName name="ж24" localSheetId="7">'[12]2+'!$CO:$CP</definedName>
    <definedName name="ж24" localSheetId="15">'[12]2+'!$CO:$CP</definedName>
    <definedName name="ж24" localSheetId="18">'[13]2+'!$CO:$CP</definedName>
    <definedName name="ж24" localSheetId="17">'[12]2+'!$CO:$CP</definedName>
    <definedName name="ж24" localSheetId="11">'[13]2+'!$CO:$CP</definedName>
    <definedName name="ж24" localSheetId="10">'[13]2+'!$CO:$CP</definedName>
    <definedName name="ж24" localSheetId="8">'[13]2+'!$CO:$CP</definedName>
    <definedName name="ж24" localSheetId="5">'[13]2+'!$CO:$CP</definedName>
    <definedName name="ж24" localSheetId="9">'[13]2+'!$CO:$CP</definedName>
    <definedName name="ж24" localSheetId="6">'[13]2+'!$CO:$CP</definedName>
    <definedName name="ж24" localSheetId="12">'[13]2+'!$CO:$CP</definedName>
    <definedName name="ж24">'[14]2+'!$CO:$CP</definedName>
    <definedName name="ж25" localSheetId="7">'[12]2+'!$CS:$CT</definedName>
    <definedName name="ж25" localSheetId="15">'[12]2+'!$CS:$CT</definedName>
    <definedName name="ж25" localSheetId="18">'[13]2+'!$CS:$CT</definedName>
    <definedName name="ж25" localSheetId="17">'[12]2+'!$CS:$CT</definedName>
    <definedName name="ж25" localSheetId="11">'[13]2+'!$CS:$CT</definedName>
    <definedName name="ж25" localSheetId="10">'[13]2+'!$CS:$CT</definedName>
    <definedName name="ж25" localSheetId="8">'[13]2+'!$CS:$CT</definedName>
    <definedName name="ж25" localSheetId="5">'[13]2+'!$CS:$CT</definedName>
    <definedName name="ж25" localSheetId="9">'[13]2+'!$CS:$CT</definedName>
    <definedName name="ж25" localSheetId="6">'[13]2+'!$CS:$CT</definedName>
    <definedName name="ж25" localSheetId="12">'[13]2+'!$CS:$CT</definedName>
    <definedName name="ж25">'[14]2+'!$CS:$CT</definedName>
    <definedName name="ж26" localSheetId="7">'[12]2+'!$CW:$CX</definedName>
    <definedName name="ж26" localSheetId="15">'[12]2+'!$CW:$CX</definedName>
    <definedName name="ж26" localSheetId="18">'[13]2+'!$CW:$CX</definedName>
    <definedName name="ж26" localSheetId="17">'[12]2+'!$CW:$CX</definedName>
    <definedName name="ж26" localSheetId="11">'[13]2+'!$CW:$CX</definedName>
    <definedName name="ж26" localSheetId="10">'[13]2+'!$CW:$CX</definedName>
    <definedName name="ж26" localSheetId="8">'[13]2+'!$CW:$CX</definedName>
    <definedName name="ж26" localSheetId="5">'[13]2+'!$CW:$CX</definedName>
    <definedName name="ж26" localSheetId="9">'[13]2+'!$CW:$CX</definedName>
    <definedName name="ж26" localSheetId="6">'[13]2+'!$CW:$CX</definedName>
    <definedName name="ж26" localSheetId="12">'[13]2+'!$CW:$CX</definedName>
    <definedName name="ж26">'[14]2+'!$CW:$CX</definedName>
    <definedName name="ж27" localSheetId="7">'[12]2+'!$DA:$DB</definedName>
    <definedName name="ж27" localSheetId="15">'[12]2+'!$DA:$DB</definedName>
    <definedName name="ж27" localSheetId="18">'[13]2+'!$DA:$DB</definedName>
    <definedName name="ж27" localSheetId="17">'[12]2+'!$DA:$DB</definedName>
    <definedName name="ж27" localSheetId="11">'[13]2+'!$DA:$DB</definedName>
    <definedName name="ж27" localSheetId="10">'[13]2+'!$DA:$DB</definedName>
    <definedName name="ж27" localSheetId="8">'[13]2+'!$DA:$DB</definedName>
    <definedName name="ж27" localSheetId="5">'[13]2+'!$DA:$DB</definedName>
    <definedName name="ж27" localSheetId="9">'[13]2+'!$DA:$DB</definedName>
    <definedName name="ж27" localSheetId="6">'[13]2+'!$DA:$DB</definedName>
    <definedName name="ж27" localSheetId="12">'[13]2+'!$DA:$DB</definedName>
    <definedName name="ж27">'[14]2+'!$DA:$DB</definedName>
    <definedName name="ж28" localSheetId="7">'[12]2+'!$DE:$DF</definedName>
    <definedName name="ж28" localSheetId="15">'[12]2+'!$DE:$DF</definedName>
    <definedName name="ж28" localSheetId="18">'[13]2+'!$DE:$DF</definedName>
    <definedName name="ж28" localSheetId="17">'[12]2+'!$DE:$DF</definedName>
    <definedName name="ж28" localSheetId="11">'[13]2+'!$DE:$DF</definedName>
    <definedName name="ж28" localSheetId="10">'[13]2+'!$DE:$DF</definedName>
    <definedName name="ж28" localSheetId="8">'[13]2+'!$DE:$DF</definedName>
    <definedName name="ж28" localSheetId="5">'[13]2+'!$DE:$DF</definedName>
    <definedName name="ж28" localSheetId="9">'[13]2+'!$DE:$DF</definedName>
    <definedName name="ж28" localSheetId="6">'[13]2+'!$DE:$DF</definedName>
    <definedName name="ж28" localSheetId="12">'[13]2+'!$DE:$DF</definedName>
    <definedName name="ж28">'[14]2+'!$DE:$DF</definedName>
    <definedName name="ж29" localSheetId="7">'[12]2+'!$DI:$DJ</definedName>
    <definedName name="ж29" localSheetId="15">'[12]2+'!$DI:$DJ</definedName>
    <definedName name="ж29" localSheetId="18">'[13]2+'!$DI:$DJ</definedName>
    <definedName name="ж29" localSheetId="17">'[12]2+'!$DI:$DJ</definedName>
    <definedName name="ж29" localSheetId="11">'[13]2+'!$DI:$DJ</definedName>
    <definedName name="ж29" localSheetId="10">'[13]2+'!$DI:$DJ</definedName>
    <definedName name="ж29" localSheetId="8">'[13]2+'!$DI:$DJ</definedName>
    <definedName name="ж29" localSheetId="5">'[13]2+'!$DI:$DJ</definedName>
    <definedName name="ж29" localSheetId="9">'[13]2+'!$DI:$DJ</definedName>
    <definedName name="ж29" localSheetId="6">'[13]2+'!$DI:$DJ</definedName>
    <definedName name="ж29" localSheetId="12">'[13]2+'!$DI:$DJ</definedName>
    <definedName name="ж29">'[14]2+'!$DI:$DJ</definedName>
    <definedName name="ж3" localSheetId="7">'[12]2+'!$I:$J</definedName>
    <definedName name="ж3" localSheetId="15">'[12]2+'!$I:$J</definedName>
    <definedName name="ж3" localSheetId="18">'[13]2+'!$I:$J</definedName>
    <definedName name="ж3" localSheetId="17">'[12]2+'!$I:$J</definedName>
    <definedName name="ж3" localSheetId="11">'[13]2+'!$I:$J</definedName>
    <definedName name="ж3" localSheetId="10">'[13]2+'!$I:$J</definedName>
    <definedName name="ж3" localSheetId="8">'[13]2+'!$I:$J</definedName>
    <definedName name="ж3" localSheetId="5">'[13]2+'!$I:$J</definedName>
    <definedName name="ж3" localSheetId="9">'[13]2+'!$I:$J</definedName>
    <definedName name="ж3" localSheetId="6">'[13]2+'!$I:$J</definedName>
    <definedName name="ж3" localSheetId="12">'[13]2+'!$I:$J</definedName>
    <definedName name="ж3">'[14]2+'!$I:$J</definedName>
    <definedName name="ж30" localSheetId="7">'[12]2+'!$DM:$DN</definedName>
    <definedName name="ж30" localSheetId="15">'[12]2+'!$DM:$DN</definedName>
    <definedName name="ж30" localSheetId="18">'[13]2+'!$DM:$DN</definedName>
    <definedName name="ж30" localSheetId="17">'[12]2+'!$DM:$DN</definedName>
    <definedName name="ж30" localSheetId="11">'[13]2+'!$DM:$DN</definedName>
    <definedName name="ж30" localSheetId="10">'[13]2+'!$DM:$DN</definedName>
    <definedName name="ж30" localSheetId="8">'[13]2+'!$DM:$DN</definedName>
    <definedName name="ж30" localSheetId="5">'[13]2+'!$DM:$DN</definedName>
    <definedName name="ж30" localSheetId="9">'[13]2+'!$DM:$DN</definedName>
    <definedName name="ж30" localSheetId="6">'[13]2+'!$DM:$DN</definedName>
    <definedName name="ж30" localSheetId="12">'[13]2+'!$DM:$DN</definedName>
    <definedName name="ж30">'[14]2+'!$DM:$DN</definedName>
    <definedName name="ж31" localSheetId="7">'[12]2+'!$DQ:$DR</definedName>
    <definedName name="ж31" localSheetId="15">'[12]2+'!$DQ:$DR</definedName>
    <definedName name="ж31" localSheetId="18">'[13]2+'!$DQ:$DR</definedName>
    <definedName name="ж31" localSheetId="17">'[12]2+'!$DQ:$DR</definedName>
    <definedName name="ж31" localSheetId="11">'[13]2+'!$DQ:$DR</definedName>
    <definedName name="ж31" localSheetId="10">'[13]2+'!$DQ:$DR</definedName>
    <definedName name="ж31" localSheetId="8">'[13]2+'!$DQ:$DR</definedName>
    <definedName name="ж31" localSheetId="5">'[13]2+'!$DQ:$DR</definedName>
    <definedName name="ж31" localSheetId="9">'[13]2+'!$DQ:$DR</definedName>
    <definedName name="ж31" localSheetId="6">'[13]2+'!$DQ:$DR</definedName>
    <definedName name="ж31" localSheetId="12">'[13]2+'!$DQ:$DR</definedName>
    <definedName name="ж31">'[14]2+'!$DQ:$DR</definedName>
    <definedName name="ж32" localSheetId="7">'[12]2+'!$DU:$DV</definedName>
    <definedName name="ж32" localSheetId="15">'[12]2+'!$DU:$DV</definedName>
    <definedName name="ж32" localSheetId="18">'[13]2+'!$DU:$DV</definedName>
    <definedName name="ж32" localSheetId="17">'[12]2+'!$DU:$DV</definedName>
    <definedName name="ж32" localSheetId="11">'[13]2+'!$DU:$DV</definedName>
    <definedName name="ж32" localSheetId="10">'[13]2+'!$DU:$DV</definedName>
    <definedName name="ж32" localSheetId="8">'[13]2+'!$DU:$DV</definedName>
    <definedName name="ж32" localSheetId="5">'[13]2+'!$DU:$DV</definedName>
    <definedName name="ж32" localSheetId="9">'[13]2+'!$DU:$DV</definedName>
    <definedName name="ж32" localSheetId="6">'[13]2+'!$DU:$DV</definedName>
    <definedName name="ж32" localSheetId="12">'[13]2+'!$DU:$DV</definedName>
    <definedName name="ж32">'[14]2+'!$DU:$DV</definedName>
    <definedName name="ж33" localSheetId="7">'[12]2+'!$DY:$DZ</definedName>
    <definedName name="ж33" localSheetId="15">'[12]2+'!$DY:$DZ</definedName>
    <definedName name="ж33" localSheetId="18">'[13]2+'!$DY:$DZ</definedName>
    <definedName name="ж33" localSheetId="17">'[12]2+'!$DY:$DZ</definedName>
    <definedName name="ж33" localSheetId="11">'[13]2+'!$DY:$DZ</definedName>
    <definedName name="ж33" localSheetId="10">'[13]2+'!$DY:$DZ</definedName>
    <definedName name="ж33" localSheetId="8">'[13]2+'!$DY:$DZ</definedName>
    <definedName name="ж33" localSheetId="5">'[13]2+'!$DY:$DZ</definedName>
    <definedName name="ж33" localSheetId="9">'[13]2+'!$DY:$DZ</definedName>
    <definedName name="ж33" localSheetId="6">'[13]2+'!$DY:$DZ</definedName>
    <definedName name="ж33" localSheetId="12">'[13]2+'!$DY:$DZ</definedName>
    <definedName name="ж33">'[14]2+'!$DY:$DZ</definedName>
    <definedName name="ж34" localSheetId="7">'[12]2+'!$EC:$ED</definedName>
    <definedName name="ж34" localSheetId="15">'[12]2+'!$EC:$ED</definedName>
    <definedName name="ж34" localSheetId="18">'[13]2+'!$EC:$ED</definedName>
    <definedName name="ж34" localSheetId="17">'[12]2+'!$EC:$ED</definedName>
    <definedName name="ж34" localSheetId="11">'[13]2+'!$EC:$ED</definedName>
    <definedName name="ж34" localSheetId="10">'[13]2+'!$EC:$ED</definedName>
    <definedName name="ж34" localSheetId="8">'[13]2+'!$EC:$ED</definedName>
    <definedName name="ж34" localSheetId="5">'[13]2+'!$EC:$ED</definedName>
    <definedName name="ж34" localSheetId="9">'[13]2+'!$EC:$ED</definedName>
    <definedName name="ж34" localSheetId="6">'[13]2+'!$EC:$ED</definedName>
    <definedName name="ж34" localSheetId="12">'[13]2+'!$EC:$ED</definedName>
    <definedName name="ж34">'[14]2+'!$EC:$ED</definedName>
    <definedName name="ж35" localSheetId="7">'[12]2+'!$EG:$EH</definedName>
    <definedName name="ж35" localSheetId="15">'[12]2+'!$EG:$EH</definedName>
    <definedName name="ж35" localSheetId="18">'[13]2+'!$EG:$EH</definedName>
    <definedName name="ж35" localSheetId="17">'[12]2+'!$EG:$EH</definedName>
    <definedName name="ж35" localSheetId="11">'[13]2+'!$EG:$EH</definedName>
    <definedName name="ж35" localSheetId="10">'[13]2+'!$EG:$EH</definedName>
    <definedName name="ж35" localSheetId="8">'[13]2+'!$EG:$EH</definedName>
    <definedName name="ж35" localSheetId="5">'[13]2+'!$EG:$EH</definedName>
    <definedName name="ж35" localSheetId="9">'[13]2+'!$EG:$EH</definedName>
    <definedName name="ж35" localSheetId="6">'[13]2+'!$EG:$EH</definedName>
    <definedName name="ж35" localSheetId="12">'[13]2+'!$EG:$EH</definedName>
    <definedName name="ж35">'[14]2+'!$EG:$EH</definedName>
    <definedName name="ж36" localSheetId="7">'[12]2+'!$EK:$EL</definedName>
    <definedName name="ж36" localSheetId="15">'[12]2+'!$EK:$EL</definedName>
    <definedName name="ж36" localSheetId="18">'[13]2+'!$EK:$EL</definedName>
    <definedName name="ж36" localSheetId="17">'[12]2+'!$EK:$EL</definedName>
    <definedName name="ж36" localSheetId="11">'[13]2+'!$EK:$EL</definedName>
    <definedName name="ж36" localSheetId="10">'[13]2+'!$EK:$EL</definedName>
    <definedName name="ж36" localSheetId="8">'[13]2+'!$EK:$EL</definedName>
    <definedName name="ж36" localSheetId="5">'[13]2+'!$EK:$EL</definedName>
    <definedName name="ж36" localSheetId="9">'[13]2+'!$EK:$EL</definedName>
    <definedName name="ж36" localSheetId="6">'[13]2+'!$EK:$EL</definedName>
    <definedName name="ж36" localSheetId="12">'[13]2+'!$EK:$EL</definedName>
    <definedName name="ж36">'[14]2+'!$EK:$EL</definedName>
    <definedName name="ж37" localSheetId="7">'[12]2+'!$EO:$EP</definedName>
    <definedName name="ж37" localSheetId="15">'[12]2+'!$EO:$EP</definedName>
    <definedName name="ж37" localSheetId="18">'[13]2+'!$EO:$EP</definedName>
    <definedName name="ж37" localSheetId="17">'[12]2+'!$EO:$EP</definedName>
    <definedName name="ж37" localSheetId="11">'[13]2+'!$EO:$EP</definedName>
    <definedName name="ж37" localSheetId="10">'[13]2+'!$EO:$EP</definedName>
    <definedName name="ж37" localSheetId="8">'[13]2+'!$EO:$EP</definedName>
    <definedName name="ж37" localSheetId="5">'[13]2+'!$EO:$EP</definedName>
    <definedName name="ж37" localSheetId="9">'[13]2+'!$EO:$EP</definedName>
    <definedName name="ж37" localSheetId="6">'[13]2+'!$EO:$EP</definedName>
    <definedName name="ж37" localSheetId="12">'[13]2+'!$EO:$EP</definedName>
    <definedName name="ж37">'[14]2+'!$EO:$EP</definedName>
    <definedName name="ж38" localSheetId="7">'[12]2+'!$ES:$ET</definedName>
    <definedName name="ж38" localSheetId="15">'[12]2+'!$ES:$ET</definedName>
    <definedName name="ж38" localSheetId="18">'[13]2+'!$ES:$ET</definedName>
    <definedName name="ж38" localSheetId="17">'[12]2+'!$ES:$ET</definedName>
    <definedName name="ж38" localSheetId="11">'[13]2+'!$ES:$ET</definedName>
    <definedName name="ж38" localSheetId="10">'[13]2+'!$ES:$ET</definedName>
    <definedName name="ж38" localSheetId="8">'[13]2+'!$ES:$ET</definedName>
    <definedName name="ж38" localSheetId="5">'[13]2+'!$ES:$ET</definedName>
    <definedName name="ж38" localSheetId="9">'[13]2+'!$ES:$ET</definedName>
    <definedName name="ж38" localSheetId="6">'[13]2+'!$ES:$ET</definedName>
    <definedName name="ж38" localSheetId="12">'[13]2+'!$ES:$ET</definedName>
    <definedName name="ж38">'[14]2+'!$ES:$ET</definedName>
    <definedName name="ж39" localSheetId="7">'[12]2+'!$EW:$EX</definedName>
    <definedName name="ж39" localSheetId="15">'[12]2+'!$EW:$EX</definedName>
    <definedName name="ж39" localSheetId="18">'[13]2+'!$EW:$EX</definedName>
    <definedName name="ж39" localSheetId="17">'[12]2+'!$EW:$EX</definedName>
    <definedName name="ж39" localSheetId="11">'[13]2+'!$EW:$EX</definedName>
    <definedName name="ж39" localSheetId="10">'[13]2+'!$EW:$EX</definedName>
    <definedName name="ж39" localSheetId="8">'[13]2+'!$EW:$EX</definedName>
    <definedName name="ж39" localSheetId="5">'[13]2+'!$EW:$EX</definedName>
    <definedName name="ж39" localSheetId="9">'[13]2+'!$EW:$EX</definedName>
    <definedName name="ж39" localSheetId="6">'[13]2+'!$EW:$EX</definedName>
    <definedName name="ж39" localSheetId="12">'[13]2+'!$EW:$EX</definedName>
    <definedName name="ж39">'[14]2+'!$EW:$EX</definedName>
    <definedName name="ж4" localSheetId="7">'[12]2+'!$M:$N</definedName>
    <definedName name="ж4" localSheetId="15">'[12]2+'!$M:$N</definedName>
    <definedName name="ж4" localSheetId="18">'[13]2+'!$M:$N</definedName>
    <definedName name="ж4" localSheetId="17">'[12]2+'!$M:$N</definedName>
    <definedName name="ж4" localSheetId="11">'[13]2+'!$M:$N</definedName>
    <definedName name="ж4" localSheetId="10">'[13]2+'!$M:$N</definedName>
    <definedName name="ж4" localSheetId="8">'[13]2+'!$M:$N</definedName>
    <definedName name="ж4" localSheetId="5">'[13]2+'!$M:$N</definedName>
    <definedName name="ж4" localSheetId="9">'[13]2+'!$M:$N</definedName>
    <definedName name="ж4" localSheetId="6">'[13]2+'!$M:$N</definedName>
    <definedName name="ж4" localSheetId="12">'[13]2+'!$M:$N</definedName>
    <definedName name="ж4">'[14]2+'!$M:$N</definedName>
    <definedName name="ж40" localSheetId="7">'[12]2+'!$FA:$FB</definedName>
    <definedName name="ж40" localSheetId="15">'[12]2+'!$FA:$FB</definedName>
    <definedName name="ж40" localSheetId="18">'[13]2+'!$FA:$FB</definedName>
    <definedName name="ж40" localSheetId="17">'[12]2+'!$FA:$FB</definedName>
    <definedName name="ж40" localSheetId="11">'[13]2+'!$FA:$FB</definedName>
    <definedName name="ж40" localSheetId="10">'[13]2+'!$FA:$FB</definedName>
    <definedName name="ж40" localSheetId="8">'[13]2+'!$FA:$FB</definedName>
    <definedName name="ж40" localSheetId="5">'[13]2+'!$FA:$FB</definedName>
    <definedName name="ж40" localSheetId="9">'[13]2+'!$FA:$FB</definedName>
    <definedName name="ж40" localSheetId="6">'[13]2+'!$FA:$FB</definedName>
    <definedName name="ж40" localSheetId="12">'[13]2+'!$FA:$FB</definedName>
    <definedName name="ж40">'[14]2+'!$FA:$FB</definedName>
    <definedName name="ж41" localSheetId="7">'[12]2+'!$FE:$FF</definedName>
    <definedName name="ж41" localSheetId="15">'[12]2+'!$FE:$FF</definedName>
    <definedName name="ж41" localSheetId="18">'[13]2+'!$FE:$FF</definedName>
    <definedName name="ж41" localSheetId="17">'[12]2+'!$FE:$FF</definedName>
    <definedName name="ж41" localSheetId="11">'[13]2+'!$FE:$FF</definedName>
    <definedName name="ж41" localSheetId="10">'[13]2+'!$FE:$FF</definedName>
    <definedName name="ж41" localSheetId="8">'[13]2+'!$FE:$FF</definedName>
    <definedName name="ж41" localSheetId="5">'[13]2+'!$FE:$FF</definedName>
    <definedName name="ж41" localSheetId="9">'[13]2+'!$FE:$FF</definedName>
    <definedName name="ж41" localSheetId="6">'[13]2+'!$FE:$FF</definedName>
    <definedName name="ж41" localSheetId="12">'[13]2+'!$FE:$FF</definedName>
    <definedName name="ж41">'[14]2+'!$FE:$FF</definedName>
    <definedName name="ж42" localSheetId="7">'[12]2+'!$FI:$FJ</definedName>
    <definedName name="ж42" localSheetId="15">'[12]2+'!$FI:$FJ</definedName>
    <definedName name="ж42" localSheetId="18">'[13]2+'!$FI:$FJ</definedName>
    <definedName name="ж42" localSheetId="17">'[12]2+'!$FI:$FJ</definedName>
    <definedName name="ж42" localSheetId="11">'[13]2+'!$FI:$FJ</definedName>
    <definedName name="ж42" localSheetId="10">'[13]2+'!$FI:$FJ</definedName>
    <definedName name="ж42" localSheetId="8">'[13]2+'!$FI:$FJ</definedName>
    <definedName name="ж42" localSheetId="5">'[13]2+'!$FI:$FJ</definedName>
    <definedName name="ж42" localSheetId="9">'[13]2+'!$FI:$FJ</definedName>
    <definedName name="ж42" localSheetId="6">'[13]2+'!$FI:$FJ</definedName>
    <definedName name="ж42" localSheetId="12">'[13]2+'!$FI:$FJ</definedName>
    <definedName name="ж42">'[14]2+'!$FI:$FJ</definedName>
    <definedName name="ж43" localSheetId="7">'[12]2+'!$FM:$FN</definedName>
    <definedName name="ж43" localSheetId="15">'[12]2+'!$FM:$FN</definedName>
    <definedName name="ж43" localSheetId="18">'[13]2+'!$FM:$FN</definedName>
    <definedName name="ж43" localSheetId="17">'[12]2+'!$FM:$FN</definedName>
    <definedName name="ж43" localSheetId="11">'[13]2+'!$FM:$FN</definedName>
    <definedName name="ж43" localSheetId="10">'[13]2+'!$FM:$FN</definedName>
    <definedName name="ж43" localSheetId="8">'[13]2+'!$FM:$FN</definedName>
    <definedName name="ж43" localSheetId="5">'[13]2+'!$FM:$FN</definedName>
    <definedName name="ж43" localSheetId="9">'[13]2+'!$FM:$FN</definedName>
    <definedName name="ж43" localSheetId="6">'[13]2+'!$FM:$FN</definedName>
    <definedName name="ж43" localSheetId="12">'[13]2+'!$FM:$FN</definedName>
    <definedName name="ж43">'[14]2+'!$FM:$FN</definedName>
    <definedName name="ж44" localSheetId="7">'[12]2+'!$FQ:$FR</definedName>
    <definedName name="ж44" localSheetId="15">'[12]2+'!$FQ:$FR</definedName>
    <definedName name="ж44" localSheetId="18">'[13]2+'!$FQ:$FR</definedName>
    <definedName name="ж44" localSheetId="17">'[12]2+'!$FQ:$FR</definedName>
    <definedName name="ж44" localSheetId="11">'[13]2+'!$FQ:$FR</definedName>
    <definedName name="ж44" localSheetId="10">'[13]2+'!$FQ:$FR</definedName>
    <definedName name="ж44" localSheetId="8">'[13]2+'!$FQ:$FR</definedName>
    <definedName name="ж44" localSheetId="5">'[13]2+'!$FQ:$FR</definedName>
    <definedName name="ж44" localSheetId="9">'[13]2+'!$FQ:$FR</definedName>
    <definedName name="ж44" localSheetId="6">'[13]2+'!$FQ:$FR</definedName>
    <definedName name="ж44" localSheetId="12">'[13]2+'!$FQ:$FR</definedName>
    <definedName name="ж44">'[14]2+'!$FQ:$FR</definedName>
    <definedName name="ж45" localSheetId="7">'[12]2+'!$FU:$FV</definedName>
    <definedName name="ж45" localSheetId="15">'[12]2+'!$FU:$FV</definedName>
    <definedName name="ж45" localSheetId="18">'[13]2+'!$FU:$FV</definedName>
    <definedName name="ж45" localSheetId="17">'[12]2+'!$FU:$FV</definedName>
    <definedName name="ж45" localSheetId="11">'[13]2+'!$FU:$FV</definedName>
    <definedName name="ж45" localSheetId="10">'[13]2+'!$FU:$FV</definedName>
    <definedName name="ж45" localSheetId="8">'[13]2+'!$FU:$FV</definedName>
    <definedName name="ж45" localSheetId="5">'[13]2+'!$FU:$FV</definedName>
    <definedName name="ж45" localSheetId="9">'[13]2+'!$FU:$FV</definedName>
    <definedName name="ж45" localSheetId="6">'[13]2+'!$FU:$FV</definedName>
    <definedName name="ж45" localSheetId="12">'[13]2+'!$FU:$FV</definedName>
    <definedName name="ж45">'[14]2+'!$FU:$FV</definedName>
    <definedName name="ж46" localSheetId="7">'[12]2+'!$FY:$FZ</definedName>
    <definedName name="ж46" localSheetId="15">'[12]2+'!$FY:$FZ</definedName>
    <definedName name="ж46" localSheetId="18">'[13]2+'!$FY:$FZ</definedName>
    <definedName name="ж46" localSheetId="17">'[12]2+'!$FY:$FZ</definedName>
    <definedName name="ж46" localSheetId="11">'[13]2+'!$FY:$FZ</definedName>
    <definedName name="ж46" localSheetId="10">'[13]2+'!$FY:$FZ</definedName>
    <definedName name="ж46" localSheetId="8">'[13]2+'!$FY:$FZ</definedName>
    <definedName name="ж46" localSheetId="5">'[13]2+'!$FY:$FZ</definedName>
    <definedName name="ж46" localSheetId="9">'[13]2+'!$FY:$FZ</definedName>
    <definedName name="ж46" localSheetId="6">'[13]2+'!$FY:$FZ</definedName>
    <definedName name="ж46" localSheetId="12">'[13]2+'!$FY:$FZ</definedName>
    <definedName name="ж46">'[14]2+'!$FY:$FZ</definedName>
    <definedName name="ж47" localSheetId="7">'[12]2+'!$GC:$GD</definedName>
    <definedName name="ж47" localSheetId="15">'[12]2+'!$GC:$GD</definedName>
    <definedName name="ж47" localSheetId="18">'[13]2+'!$GC:$GD</definedName>
    <definedName name="ж47" localSheetId="17">'[12]2+'!$GC:$GD</definedName>
    <definedName name="ж47" localSheetId="11">'[13]2+'!$GC:$GD</definedName>
    <definedName name="ж47" localSheetId="10">'[13]2+'!$GC:$GD</definedName>
    <definedName name="ж47" localSheetId="8">'[13]2+'!$GC:$GD</definedName>
    <definedName name="ж47" localSheetId="5">'[13]2+'!$GC:$GD</definedName>
    <definedName name="ж47" localSheetId="9">'[13]2+'!$GC:$GD</definedName>
    <definedName name="ж47" localSheetId="6">'[13]2+'!$GC:$GD</definedName>
    <definedName name="ж47" localSheetId="12">'[13]2+'!$GC:$GD</definedName>
    <definedName name="ж47">'[14]2+'!$GC:$GD</definedName>
    <definedName name="ж48" localSheetId="7">'[12]2+'!$GG:$GH</definedName>
    <definedName name="ж48" localSheetId="15">'[12]2+'!$GG:$GH</definedName>
    <definedName name="ж48" localSheetId="18">'[13]2+'!$GG:$GH</definedName>
    <definedName name="ж48" localSheetId="17">'[12]2+'!$GG:$GH</definedName>
    <definedName name="ж48" localSheetId="11">'[13]2+'!$GG:$GH</definedName>
    <definedName name="ж48" localSheetId="10">'[13]2+'!$GG:$GH</definedName>
    <definedName name="ж48" localSheetId="8">'[13]2+'!$GG:$GH</definedName>
    <definedName name="ж48" localSheetId="5">'[13]2+'!$GG:$GH</definedName>
    <definedName name="ж48" localSheetId="9">'[13]2+'!$GG:$GH</definedName>
    <definedName name="ж48" localSheetId="6">'[13]2+'!$GG:$GH</definedName>
    <definedName name="ж48" localSheetId="12">'[13]2+'!$GG:$GH</definedName>
    <definedName name="ж48">'[14]2+'!$GG:$GH</definedName>
    <definedName name="ж49" localSheetId="7">'[12]2+'!$GK:$GL</definedName>
    <definedName name="ж49" localSheetId="15">'[12]2+'!$GK:$GL</definedName>
    <definedName name="ж49" localSheetId="18">'[13]2+'!$GK:$GL</definedName>
    <definedName name="ж49" localSheetId="17">'[12]2+'!$GK:$GL</definedName>
    <definedName name="ж49" localSheetId="11">'[13]2+'!$GK:$GL</definedName>
    <definedName name="ж49" localSheetId="10">'[13]2+'!$GK:$GL</definedName>
    <definedName name="ж49" localSheetId="8">'[13]2+'!$GK:$GL</definedName>
    <definedName name="ж49" localSheetId="5">'[13]2+'!$GK:$GL</definedName>
    <definedName name="ж49" localSheetId="9">'[13]2+'!$GK:$GL</definedName>
    <definedName name="ж49" localSheetId="6">'[13]2+'!$GK:$GL</definedName>
    <definedName name="ж49" localSheetId="12">'[13]2+'!$GK:$GL</definedName>
    <definedName name="ж49">'[14]2+'!$GK:$GL</definedName>
    <definedName name="ж5" localSheetId="7">'[12]2+'!$Q:$R</definedName>
    <definedName name="ж5" localSheetId="15">'[12]2+'!$Q:$R</definedName>
    <definedName name="ж5" localSheetId="18">'[13]2+'!$Q:$R</definedName>
    <definedName name="ж5" localSheetId="17">'[12]2+'!$Q:$R</definedName>
    <definedName name="ж5" localSheetId="11">'[13]2+'!$Q:$R</definedName>
    <definedName name="ж5" localSheetId="10">'[13]2+'!$Q:$R</definedName>
    <definedName name="ж5" localSheetId="8">'[13]2+'!$Q:$R</definedName>
    <definedName name="ж5" localSheetId="5">'[13]2+'!$Q:$R</definedName>
    <definedName name="ж5" localSheetId="9">'[13]2+'!$Q:$R</definedName>
    <definedName name="ж5" localSheetId="6">'[13]2+'!$Q:$R</definedName>
    <definedName name="ж5" localSheetId="12">'[13]2+'!$Q:$R</definedName>
    <definedName name="ж5">'[14]2+'!$Q:$R</definedName>
    <definedName name="ж50" localSheetId="7">'[12]2+'!$GO:$GP</definedName>
    <definedName name="ж50" localSheetId="15">'[12]2+'!$GO:$GP</definedName>
    <definedName name="ж50" localSheetId="18">'[13]2+'!$GO:$GP</definedName>
    <definedName name="ж50" localSheetId="17">'[12]2+'!$GO:$GP</definedName>
    <definedName name="ж50" localSheetId="11">'[13]2+'!$GO:$GP</definedName>
    <definedName name="ж50" localSheetId="10">'[13]2+'!$GO:$GP</definedName>
    <definedName name="ж50" localSheetId="8">'[13]2+'!$GO:$GP</definedName>
    <definedName name="ж50" localSheetId="5">'[13]2+'!$GO:$GP</definedName>
    <definedName name="ж50" localSheetId="9">'[13]2+'!$GO:$GP</definedName>
    <definedName name="ж50" localSheetId="6">'[13]2+'!$GO:$GP</definedName>
    <definedName name="ж50" localSheetId="12">'[13]2+'!$GO:$GP</definedName>
    <definedName name="ж50">'[14]2+'!$GO:$GP</definedName>
    <definedName name="ж51" localSheetId="7">'[12]2+'!$GS:$GT</definedName>
    <definedName name="ж51" localSheetId="15">'[12]2+'!$GS:$GT</definedName>
    <definedName name="ж51" localSheetId="18">'[13]2+'!$GS:$GT</definedName>
    <definedName name="ж51" localSheetId="17">'[12]2+'!$GS:$GT</definedName>
    <definedName name="ж51" localSheetId="11">'[13]2+'!$GS:$GT</definedName>
    <definedName name="ж51" localSheetId="10">'[13]2+'!$GS:$GT</definedName>
    <definedName name="ж51" localSheetId="8">'[13]2+'!$GS:$GT</definedName>
    <definedName name="ж51" localSheetId="5">'[13]2+'!$GS:$GT</definedName>
    <definedName name="ж51" localSheetId="9">'[13]2+'!$GS:$GT</definedName>
    <definedName name="ж51" localSheetId="6">'[13]2+'!$GS:$GT</definedName>
    <definedName name="ж51" localSheetId="12">'[13]2+'!$GS:$GT</definedName>
    <definedName name="ж51">'[14]2+'!$GS:$GT</definedName>
    <definedName name="ж52" localSheetId="7">'[12]2+'!$GW:$GX</definedName>
    <definedName name="ж52" localSheetId="15">'[12]2+'!$GW:$GX</definedName>
    <definedName name="ж52" localSheetId="18">'[13]2+'!$GW:$GX</definedName>
    <definedName name="ж52" localSheetId="17">'[12]2+'!$GW:$GX</definedName>
    <definedName name="ж52" localSheetId="11">'[13]2+'!$GW:$GX</definedName>
    <definedName name="ж52" localSheetId="10">'[13]2+'!$GW:$GX</definedName>
    <definedName name="ж52" localSheetId="8">'[13]2+'!$GW:$GX</definedName>
    <definedName name="ж52" localSheetId="5">'[13]2+'!$GW:$GX</definedName>
    <definedName name="ж52" localSheetId="9">'[13]2+'!$GW:$GX</definedName>
    <definedName name="ж52" localSheetId="6">'[13]2+'!$GW:$GX</definedName>
    <definedName name="ж52" localSheetId="12">'[13]2+'!$GW:$GX</definedName>
    <definedName name="ж52">'[14]2+'!$GW:$GX</definedName>
    <definedName name="ж53" localSheetId="7">'[12]2+'!$HA:$HB</definedName>
    <definedName name="ж53" localSheetId="15">'[12]2+'!$HA:$HB</definedName>
    <definedName name="ж53" localSheetId="18">'[13]2+'!$HA:$HB</definedName>
    <definedName name="ж53" localSheetId="17">'[12]2+'!$HA:$HB</definedName>
    <definedName name="ж53" localSheetId="11">'[13]2+'!$HA:$HB</definedName>
    <definedName name="ж53" localSheetId="10">'[13]2+'!$HA:$HB</definedName>
    <definedName name="ж53" localSheetId="8">'[13]2+'!$HA:$HB</definedName>
    <definedName name="ж53" localSheetId="5">'[13]2+'!$HA:$HB</definedName>
    <definedName name="ж53" localSheetId="9">'[13]2+'!$HA:$HB</definedName>
    <definedName name="ж53" localSheetId="6">'[13]2+'!$HA:$HB</definedName>
    <definedName name="ж53" localSheetId="12">'[13]2+'!$HA:$HB</definedName>
    <definedName name="ж53">'[14]2+'!$HA:$HB</definedName>
    <definedName name="ж54" localSheetId="7">'[12]2+'!$HE:$HF</definedName>
    <definedName name="ж54" localSheetId="15">'[12]2+'!$HE:$HF</definedName>
    <definedName name="ж54" localSheetId="18">'[13]2+'!$HE:$HF</definedName>
    <definedName name="ж54" localSheetId="17">'[12]2+'!$HE:$HF</definedName>
    <definedName name="ж54" localSheetId="11">'[13]2+'!$HE:$HF</definedName>
    <definedName name="ж54" localSheetId="10">'[13]2+'!$HE:$HF</definedName>
    <definedName name="ж54" localSheetId="8">'[13]2+'!$HE:$HF</definedName>
    <definedName name="ж54" localSheetId="5">'[13]2+'!$HE:$HF</definedName>
    <definedName name="ж54" localSheetId="9">'[13]2+'!$HE:$HF</definedName>
    <definedName name="ж54" localSheetId="6">'[13]2+'!$HE:$HF</definedName>
    <definedName name="ж54" localSheetId="12">'[13]2+'!$HE:$HF</definedName>
    <definedName name="ж54">'[14]2+'!$HE:$HF</definedName>
    <definedName name="ж55" localSheetId="7">'[12]2+'!$HI:$HJ</definedName>
    <definedName name="ж55" localSheetId="15">'[12]2+'!$HI:$HJ</definedName>
    <definedName name="ж55" localSheetId="18">'[13]2+'!$HI:$HJ</definedName>
    <definedName name="ж55" localSheetId="17">'[12]2+'!$HI:$HJ</definedName>
    <definedName name="ж55" localSheetId="11">'[13]2+'!$HI:$HJ</definedName>
    <definedName name="ж55" localSheetId="10">'[13]2+'!$HI:$HJ</definedName>
    <definedName name="ж55" localSheetId="8">'[13]2+'!$HI:$HJ</definedName>
    <definedName name="ж55" localSheetId="5">'[13]2+'!$HI:$HJ</definedName>
    <definedName name="ж55" localSheetId="9">'[13]2+'!$HI:$HJ</definedName>
    <definedName name="ж55" localSheetId="6">'[13]2+'!$HI:$HJ</definedName>
    <definedName name="ж55" localSheetId="12">'[13]2+'!$HI:$HJ</definedName>
    <definedName name="ж55">'[14]2+'!$HI:$HJ</definedName>
    <definedName name="ж56" localSheetId="7">'[12]2+'!$HM:$HN</definedName>
    <definedName name="ж56" localSheetId="15">'[12]2+'!$HM:$HN</definedName>
    <definedName name="ж56" localSheetId="18">'[13]2+'!$HM:$HN</definedName>
    <definedName name="ж56" localSheetId="17">'[12]2+'!$HM:$HN</definedName>
    <definedName name="ж56" localSheetId="11">'[13]2+'!$HM:$HN</definedName>
    <definedName name="ж56" localSheetId="10">'[13]2+'!$HM:$HN</definedName>
    <definedName name="ж56" localSheetId="8">'[13]2+'!$HM:$HN</definedName>
    <definedName name="ж56" localSheetId="5">'[13]2+'!$HM:$HN</definedName>
    <definedName name="ж56" localSheetId="9">'[13]2+'!$HM:$HN</definedName>
    <definedName name="ж56" localSheetId="6">'[13]2+'!$HM:$HN</definedName>
    <definedName name="ж56" localSheetId="12">'[13]2+'!$HM:$HN</definedName>
    <definedName name="ж56">'[14]2+'!$HM:$HN</definedName>
    <definedName name="ж57" localSheetId="7">'[12]2+'!$HQ:$HR</definedName>
    <definedName name="ж57" localSheetId="15">'[12]2+'!$HQ:$HR</definedName>
    <definedName name="ж57" localSheetId="18">'[13]2+'!$HQ:$HR</definedName>
    <definedName name="ж57" localSheetId="17">'[12]2+'!$HQ:$HR</definedName>
    <definedName name="ж57" localSheetId="11">'[13]2+'!$HQ:$HR</definedName>
    <definedName name="ж57" localSheetId="10">'[13]2+'!$HQ:$HR</definedName>
    <definedName name="ж57" localSheetId="8">'[13]2+'!$HQ:$HR</definedName>
    <definedName name="ж57" localSheetId="5">'[13]2+'!$HQ:$HR</definedName>
    <definedName name="ж57" localSheetId="9">'[13]2+'!$HQ:$HR</definedName>
    <definedName name="ж57" localSheetId="6">'[13]2+'!$HQ:$HR</definedName>
    <definedName name="ж57" localSheetId="12">'[13]2+'!$HQ:$HR</definedName>
    <definedName name="ж57">'[14]2+'!$HQ:$HR</definedName>
    <definedName name="ж58" localSheetId="7">'[12]2+'!$HU:$HV</definedName>
    <definedName name="ж58" localSheetId="15">'[12]2+'!$HU:$HV</definedName>
    <definedName name="ж58" localSheetId="18">'[13]2+'!$HU:$HV</definedName>
    <definedName name="ж58" localSheetId="17">'[12]2+'!$HU:$HV</definedName>
    <definedName name="ж58" localSheetId="11">'[13]2+'!$HU:$HV</definedName>
    <definedName name="ж58" localSheetId="10">'[13]2+'!$HU:$HV</definedName>
    <definedName name="ж58" localSheetId="8">'[13]2+'!$HU:$HV</definedName>
    <definedName name="ж58" localSheetId="5">'[13]2+'!$HU:$HV</definedName>
    <definedName name="ж58" localSheetId="9">'[13]2+'!$HU:$HV</definedName>
    <definedName name="ж58" localSheetId="6">'[13]2+'!$HU:$HV</definedName>
    <definedName name="ж58" localSheetId="12">'[13]2+'!$HU:$HV</definedName>
    <definedName name="ж58">'[14]2+'!$HU:$HV</definedName>
    <definedName name="ж59" localSheetId="7">'[12]2+'!$HY:$HZ</definedName>
    <definedName name="ж59" localSheetId="15">'[12]2+'!$HY:$HZ</definedName>
    <definedName name="ж59" localSheetId="18">'[13]2+'!$HY:$HZ</definedName>
    <definedName name="ж59" localSheetId="17">'[12]2+'!$HY:$HZ</definedName>
    <definedName name="ж59" localSheetId="11">'[13]2+'!$HY:$HZ</definedName>
    <definedName name="ж59" localSheetId="10">'[13]2+'!$HY:$HZ</definedName>
    <definedName name="ж59" localSheetId="8">'[13]2+'!$HY:$HZ</definedName>
    <definedName name="ж59" localSheetId="5">'[13]2+'!$HY:$HZ</definedName>
    <definedName name="ж59" localSheetId="9">'[13]2+'!$HY:$HZ</definedName>
    <definedName name="ж59" localSheetId="6">'[13]2+'!$HY:$HZ</definedName>
    <definedName name="ж59" localSheetId="12">'[13]2+'!$HY:$HZ</definedName>
    <definedName name="ж59">'[14]2+'!$HY:$HZ</definedName>
    <definedName name="ж6" localSheetId="7">'[12]2+'!$U:$V</definedName>
    <definedName name="ж6" localSheetId="15">'[12]2+'!$U:$V</definedName>
    <definedName name="ж6" localSheetId="18">'[13]2+'!$U:$V</definedName>
    <definedName name="ж6" localSheetId="17">'[12]2+'!$U:$V</definedName>
    <definedName name="ж6" localSheetId="11">'[13]2+'!$U:$V</definedName>
    <definedName name="ж6" localSheetId="10">'[13]2+'!$U:$V</definedName>
    <definedName name="ж6" localSheetId="8">'[13]2+'!$U:$V</definedName>
    <definedName name="ж6" localSheetId="5">'[13]2+'!$U:$V</definedName>
    <definedName name="ж6" localSheetId="9">'[13]2+'!$U:$V</definedName>
    <definedName name="ж6" localSheetId="6">'[13]2+'!$U:$V</definedName>
    <definedName name="ж6" localSheetId="12">'[13]2+'!$U:$V</definedName>
    <definedName name="ж6">'[14]2+'!$U:$V</definedName>
    <definedName name="ж60" localSheetId="7">'[12]2+'!$IC:$ID</definedName>
    <definedName name="ж60" localSheetId="15">'[12]2+'!$IC:$ID</definedName>
    <definedName name="ж60" localSheetId="18">'[13]2+'!$IC:$ID</definedName>
    <definedName name="ж60" localSheetId="17">'[12]2+'!$IC:$ID</definedName>
    <definedName name="ж60" localSheetId="11">'[13]2+'!$IC:$ID</definedName>
    <definedName name="ж60" localSheetId="10">'[13]2+'!$IC:$ID</definedName>
    <definedName name="ж60" localSheetId="8">'[13]2+'!$IC:$ID</definedName>
    <definedName name="ж60" localSheetId="5">'[13]2+'!$IC:$ID</definedName>
    <definedName name="ж60" localSheetId="9">'[13]2+'!$IC:$ID</definedName>
    <definedName name="ж60" localSheetId="6">'[13]2+'!$IC:$ID</definedName>
    <definedName name="ж60" localSheetId="12">'[13]2+'!$IC:$ID</definedName>
    <definedName name="ж60">'[14]2+'!$IC:$ID</definedName>
    <definedName name="ж61" localSheetId="7">'[12]2+'!$IG:$IH</definedName>
    <definedName name="ж61" localSheetId="15">'[12]2+'!$IG:$IH</definedName>
    <definedName name="ж61" localSheetId="18">'[13]2+'!$IG:$IH</definedName>
    <definedName name="ж61" localSheetId="17">'[12]2+'!$IG:$IH</definedName>
    <definedName name="ж61" localSheetId="11">'[13]2+'!$IG:$IH</definedName>
    <definedName name="ж61" localSheetId="10">'[13]2+'!$IG:$IH</definedName>
    <definedName name="ж61" localSheetId="8">'[13]2+'!$IG:$IH</definedName>
    <definedName name="ж61" localSheetId="5">'[13]2+'!$IG:$IH</definedName>
    <definedName name="ж61" localSheetId="9">'[13]2+'!$IG:$IH</definedName>
    <definedName name="ж61" localSheetId="6">'[13]2+'!$IG:$IH</definedName>
    <definedName name="ж61" localSheetId="12">'[13]2+'!$IG:$IH</definedName>
    <definedName name="ж61">'[14]2+'!$IG:$IH</definedName>
    <definedName name="ж62" localSheetId="7">'[12]2+'!$IK:$IL</definedName>
    <definedName name="ж62" localSheetId="15">'[12]2+'!$IK:$IL</definedName>
    <definedName name="ж62" localSheetId="18">'[13]2+'!$IK:$IL</definedName>
    <definedName name="ж62" localSheetId="17">'[12]2+'!$IK:$IL</definedName>
    <definedName name="ж62" localSheetId="11">'[13]2+'!$IK:$IL</definedName>
    <definedName name="ж62" localSheetId="10">'[13]2+'!$IK:$IL</definedName>
    <definedName name="ж62" localSheetId="8">'[13]2+'!$IK:$IL</definedName>
    <definedName name="ж62" localSheetId="5">'[13]2+'!$IK:$IL</definedName>
    <definedName name="ж62" localSheetId="9">'[13]2+'!$IK:$IL</definedName>
    <definedName name="ж62" localSheetId="6">'[13]2+'!$IK:$IL</definedName>
    <definedName name="ж62" localSheetId="12">'[13]2+'!$IK:$IL</definedName>
    <definedName name="ж62">'[14]2+'!$IK:$IL</definedName>
    <definedName name="ж63" localSheetId="7">'[12]2+'!$IO:$IP</definedName>
    <definedName name="ж63" localSheetId="15">'[12]2+'!$IO:$IP</definedName>
    <definedName name="ж63" localSheetId="18">'[13]2+'!$IO:$IP</definedName>
    <definedName name="ж63" localSheetId="17">'[12]2+'!$IO:$IP</definedName>
    <definedName name="ж63" localSheetId="11">'[13]2+'!$IO:$IP</definedName>
    <definedName name="ж63" localSheetId="10">'[13]2+'!$IO:$IP</definedName>
    <definedName name="ж63" localSheetId="8">'[13]2+'!$IO:$IP</definedName>
    <definedName name="ж63" localSheetId="5">'[13]2+'!$IO:$IP</definedName>
    <definedName name="ж63" localSheetId="9">'[13]2+'!$IO:$IP</definedName>
    <definedName name="ж63" localSheetId="6">'[13]2+'!$IO:$IP</definedName>
    <definedName name="ж63" localSheetId="12">'[13]2+'!$IO:$IP</definedName>
    <definedName name="ж63">'[14]2+'!$IO:$IP</definedName>
    <definedName name="ж64" localSheetId="7">'[12]2+'!$IS:$IT</definedName>
    <definedName name="ж64" localSheetId="15">'[12]2+'!$IS:$IT</definedName>
    <definedName name="ж64" localSheetId="18">'[13]2+'!$IS:$IT</definedName>
    <definedName name="ж64" localSheetId="17">'[12]2+'!$IS:$IT</definedName>
    <definedName name="ж64" localSheetId="11">'[13]2+'!$IS:$IT</definedName>
    <definedName name="ж64" localSheetId="10">'[13]2+'!$IS:$IT</definedName>
    <definedName name="ж64" localSheetId="8">'[13]2+'!$IS:$IT</definedName>
    <definedName name="ж64" localSheetId="5">'[13]2+'!$IS:$IT</definedName>
    <definedName name="ж64" localSheetId="9">'[13]2+'!$IS:$IT</definedName>
    <definedName name="ж64" localSheetId="6">'[13]2+'!$IS:$IT</definedName>
    <definedName name="ж64" localSheetId="12">'[13]2+'!$IS:$IT</definedName>
    <definedName name="ж64">'[14]2+'!$IS:$IT</definedName>
    <definedName name="ж65" localSheetId="7">'[12]2+'!$IW:$IX</definedName>
    <definedName name="ж65" localSheetId="15">'[12]2+'!$IW:$IX</definedName>
    <definedName name="ж65" localSheetId="18">'[13]2+'!$IW:$IX</definedName>
    <definedName name="ж65" localSheetId="17">'[12]2+'!$IW:$IX</definedName>
    <definedName name="ж65" localSheetId="11">'[13]2+'!$IW:$IX</definedName>
    <definedName name="ж65" localSheetId="10">'[13]2+'!$IW:$IX</definedName>
    <definedName name="ж65" localSheetId="8">'[13]2+'!$IW:$IX</definedName>
    <definedName name="ж65" localSheetId="5">'[13]2+'!$IW:$IX</definedName>
    <definedName name="ж65" localSheetId="9">'[13]2+'!$IW:$IX</definedName>
    <definedName name="ж65" localSheetId="6">'[13]2+'!$IW:$IX</definedName>
    <definedName name="ж65" localSheetId="12">'[13]2+'!$IW:$IX</definedName>
    <definedName name="ж65">'[14]2+'!$IW:$IX</definedName>
    <definedName name="ж66" localSheetId="7">'[12]2+'!$JA:$JB</definedName>
    <definedName name="ж66" localSheetId="15">'[12]2+'!$JA:$JB</definedName>
    <definedName name="ж66" localSheetId="18">'[13]2+'!$JA:$JB</definedName>
    <definedName name="ж66" localSheetId="17">'[12]2+'!$JA:$JB</definedName>
    <definedName name="ж66" localSheetId="11">'[13]2+'!$JA:$JB</definedName>
    <definedName name="ж66" localSheetId="10">'[13]2+'!$JA:$JB</definedName>
    <definedName name="ж66" localSheetId="8">'[13]2+'!$JA:$JB</definedName>
    <definedName name="ж66" localSheetId="5">'[13]2+'!$JA:$JB</definedName>
    <definedName name="ж66" localSheetId="9">'[13]2+'!$JA:$JB</definedName>
    <definedName name="ж66" localSheetId="6">'[13]2+'!$JA:$JB</definedName>
    <definedName name="ж66" localSheetId="12">'[13]2+'!$JA:$JB</definedName>
    <definedName name="ж66">'[14]2+'!$JA:$JB</definedName>
    <definedName name="ж67" localSheetId="7">'[12]2+'!$JE:$JF</definedName>
    <definedName name="ж67" localSheetId="15">'[12]2+'!$JE:$JF</definedName>
    <definedName name="ж67" localSheetId="18">'[13]2+'!$JE:$JF</definedName>
    <definedName name="ж67" localSheetId="17">'[12]2+'!$JE:$JF</definedName>
    <definedName name="ж67" localSheetId="11">'[13]2+'!$JE:$JF</definedName>
    <definedName name="ж67" localSheetId="10">'[13]2+'!$JE:$JF</definedName>
    <definedName name="ж67" localSheetId="8">'[13]2+'!$JE:$JF</definedName>
    <definedName name="ж67" localSheetId="5">'[13]2+'!$JE:$JF</definedName>
    <definedName name="ж67" localSheetId="9">'[13]2+'!$JE:$JF</definedName>
    <definedName name="ж67" localSheetId="6">'[13]2+'!$JE:$JF</definedName>
    <definedName name="ж67" localSheetId="12">'[13]2+'!$JE:$JF</definedName>
    <definedName name="ж67">'[14]2+'!$JE:$JF</definedName>
    <definedName name="ж68" localSheetId="7">'[12]2+'!$JI:$JJ</definedName>
    <definedName name="ж68" localSheetId="15">'[12]2+'!$JI:$JJ</definedName>
    <definedName name="ж68" localSheetId="18">'[13]2+'!$JI:$JJ</definedName>
    <definedName name="ж68" localSheetId="17">'[12]2+'!$JI:$JJ</definedName>
    <definedName name="ж68" localSheetId="11">'[13]2+'!$JI:$JJ</definedName>
    <definedName name="ж68" localSheetId="10">'[13]2+'!$JI:$JJ</definedName>
    <definedName name="ж68" localSheetId="8">'[13]2+'!$JI:$JJ</definedName>
    <definedName name="ж68" localSheetId="5">'[13]2+'!$JI:$JJ</definedName>
    <definedName name="ж68" localSheetId="9">'[13]2+'!$JI:$JJ</definedName>
    <definedName name="ж68" localSheetId="6">'[13]2+'!$JI:$JJ</definedName>
    <definedName name="ж68" localSheetId="12">'[13]2+'!$JI:$JJ</definedName>
    <definedName name="ж68">'[14]2+'!$JI:$JJ</definedName>
    <definedName name="ж69" localSheetId="7">'[12]2+'!$JM:$JN</definedName>
    <definedName name="ж69" localSheetId="15">'[12]2+'!$JM:$JN</definedName>
    <definedName name="ж69" localSheetId="18">'[13]2+'!$JM:$JN</definedName>
    <definedName name="ж69" localSheetId="17">'[12]2+'!$JM:$JN</definedName>
    <definedName name="ж69" localSheetId="11">'[13]2+'!$JM:$JN</definedName>
    <definedName name="ж69" localSheetId="10">'[13]2+'!$JM:$JN</definedName>
    <definedName name="ж69" localSheetId="8">'[13]2+'!$JM:$JN</definedName>
    <definedName name="ж69" localSheetId="5">'[13]2+'!$JM:$JN</definedName>
    <definedName name="ж69" localSheetId="9">'[13]2+'!$JM:$JN</definedName>
    <definedName name="ж69" localSheetId="6">'[13]2+'!$JM:$JN</definedName>
    <definedName name="ж69" localSheetId="12">'[13]2+'!$JM:$JN</definedName>
    <definedName name="ж69">'[14]2+'!$JM:$JN</definedName>
    <definedName name="ж7" localSheetId="7">'[12]2+'!$Y:$Z</definedName>
    <definedName name="ж7" localSheetId="15">'[12]2+'!$Y:$Z</definedName>
    <definedName name="ж7" localSheetId="18">'[13]2+'!$Y:$Z</definedName>
    <definedName name="ж7" localSheetId="17">'[12]2+'!$Y:$Z</definedName>
    <definedName name="ж7" localSheetId="11">'[13]2+'!$Y:$Z</definedName>
    <definedName name="ж7" localSheetId="10">'[13]2+'!$Y:$Z</definedName>
    <definedName name="ж7" localSheetId="8">'[13]2+'!$Y:$Z</definedName>
    <definedName name="ж7" localSheetId="5">'[13]2+'!$Y:$Z</definedName>
    <definedName name="ж7" localSheetId="9">'[13]2+'!$Y:$Z</definedName>
    <definedName name="ж7" localSheetId="6">'[13]2+'!$Y:$Z</definedName>
    <definedName name="ж7" localSheetId="12">'[13]2+'!$Y:$Z</definedName>
    <definedName name="ж7">'[14]2+'!$Y:$Z</definedName>
    <definedName name="ж70" localSheetId="7">'[12]2+'!$JQ:$JR</definedName>
    <definedName name="ж70" localSheetId="15">'[12]2+'!$JQ:$JR</definedName>
    <definedName name="ж70" localSheetId="18">'[13]2+'!$JQ:$JR</definedName>
    <definedName name="ж70" localSheetId="17">'[12]2+'!$JQ:$JR</definedName>
    <definedName name="ж70" localSheetId="11">'[13]2+'!$JQ:$JR</definedName>
    <definedName name="ж70" localSheetId="10">'[13]2+'!$JQ:$JR</definedName>
    <definedName name="ж70" localSheetId="8">'[13]2+'!$JQ:$JR</definedName>
    <definedName name="ж70" localSheetId="5">'[13]2+'!$JQ:$JR</definedName>
    <definedName name="ж70" localSheetId="9">'[13]2+'!$JQ:$JR</definedName>
    <definedName name="ж70" localSheetId="6">'[13]2+'!$JQ:$JR</definedName>
    <definedName name="ж70" localSheetId="12">'[13]2+'!$JQ:$JR</definedName>
    <definedName name="ж70">'[14]2+'!$JQ:$JR</definedName>
    <definedName name="ж71" localSheetId="7">'[12]2+'!$JU:$JV</definedName>
    <definedName name="ж71" localSheetId="15">'[12]2+'!$JU:$JV</definedName>
    <definedName name="ж71" localSheetId="18">'[13]2+'!$JU:$JV</definedName>
    <definedName name="ж71" localSheetId="17">'[12]2+'!$JU:$JV</definedName>
    <definedName name="ж71" localSheetId="11">'[13]2+'!$JU:$JV</definedName>
    <definedName name="ж71" localSheetId="10">'[13]2+'!$JU:$JV</definedName>
    <definedName name="ж71" localSheetId="8">'[13]2+'!$JU:$JV</definedName>
    <definedName name="ж71" localSheetId="5">'[13]2+'!$JU:$JV</definedName>
    <definedName name="ж71" localSheetId="9">'[13]2+'!$JU:$JV</definedName>
    <definedName name="ж71" localSheetId="6">'[13]2+'!$JU:$JV</definedName>
    <definedName name="ж71" localSheetId="12">'[13]2+'!$JU:$JV</definedName>
    <definedName name="ж71">'[14]2+'!$JU:$JV</definedName>
    <definedName name="ж72" localSheetId="7">'[12]2+'!$JY:$JZ</definedName>
    <definedName name="ж72" localSheetId="15">'[12]2+'!$JY:$JZ</definedName>
    <definedName name="ж72" localSheetId="18">'[13]2+'!$JY:$JZ</definedName>
    <definedName name="ж72" localSheetId="17">'[12]2+'!$JY:$JZ</definedName>
    <definedName name="ж72" localSheetId="11">'[13]2+'!$JY:$JZ</definedName>
    <definedName name="ж72" localSheetId="10">'[13]2+'!$JY:$JZ</definedName>
    <definedName name="ж72" localSheetId="8">'[13]2+'!$JY:$JZ</definedName>
    <definedName name="ж72" localSheetId="5">'[13]2+'!$JY:$JZ</definedName>
    <definedName name="ж72" localSheetId="9">'[13]2+'!$JY:$JZ</definedName>
    <definedName name="ж72" localSheetId="6">'[13]2+'!$JY:$JZ</definedName>
    <definedName name="ж72" localSheetId="12">'[13]2+'!$JY:$JZ</definedName>
    <definedName name="ж72">'[14]2+'!$JY:$JZ</definedName>
    <definedName name="ж73" localSheetId="7">'[12]2+'!$KC:$KD</definedName>
    <definedName name="ж73" localSheetId="15">'[12]2+'!$KC:$KD</definedName>
    <definedName name="ж73" localSheetId="18">'[13]2+'!$KC:$KD</definedName>
    <definedName name="ж73" localSheetId="17">'[12]2+'!$KC:$KD</definedName>
    <definedName name="ж73" localSheetId="11">'[13]2+'!$KC:$KD</definedName>
    <definedName name="ж73" localSheetId="10">'[13]2+'!$KC:$KD</definedName>
    <definedName name="ж73" localSheetId="8">'[13]2+'!$KC:$KD</definedName>
    <definedName name="ж73" localSheetId="5">'[13]2+'!$KC:$KD</definedName>
    <definedName name="ж73" localSheetId="9">'[13]2+'!$KC:$KD</definedName>
    <definedName name="ж73" localSheetId="6">'[13]2+'!$KC:$KD</definedName>
    <definedName name="ж73" localSheetId="12">'[13]2+'!$KC:$KD</definedName>
    <definedName name="ж73">'[14]2+'!$KC:$KD</definedName>
    <definedName name="ж74" localSheetId="7">'[12]2+'!$KG:$KH</definedName>
    <definedName name="ж74" localSheetId="15">'[12]2+'!$KG:$KH</definedName>
    <definedName name="ж74" localSheetId="18">'[13]2+'!$KG:$KH</definedName>
    <definedName name="ж74" localSheetId="17">'[12]2+'!$KG:$KH</definedName>
    <definedName name="ж74" localSheetId="11">'[13]2+'!$KG:$KH</definedName>
    <definedName name="ж74" localSheetId="10">'[13]2+'!$KG:$KH</definedName>
    <definedName name="ж74" localSheetId="8">'[13]2+'!$KG:$KH</definedName>
    <definedName name="ж74" localSheetId="5">'[13]2+'!$KG:$KH</definedName>
    <definedName name="ж74" localSheetId="9">'[13]2+'!$KG:$KH</definedName>
    <definedName name="ж74" localSheetId="6">'[13]2+'!$KG:$KH</definedName>
    <definedName name="ж74" localSheetId="12">'[13]2+'!$KG:$KH</definedName>
    <definedName name="ж74">'[14]2+'!$KG:$KH</definedName>
    <definedName name="ж75" localSheetId="7">'[12]2+'!$KK:$KL</definedName>
    <definedName name="ж75" localSheetId="15">'[12]2+'!$KK:$KL</definedName>
    <definedName name="ж75" localSheetId="18">'[13]2+'!$KK:$KL</definedName>
    <definedName name="ж75" localSheetId="17">'[12]2+'!$KK:$KL</definedName>
    <definedName name="ж75" localSheetId="11">'[13]2+'!$KK:$KL</definedName>
    <definedName name="ж75" localSheetId="10">'[13]2+'!$KK:$KL</definedName>
    <definedName name="ж75" localSheetId="8">'[13]2+'!$KK:$KL</definedName>
    <definedName name="ж75" localSheetId="5">'[13]2+'!$KK:$KL</definedName>
    <definedName name="ж75" localSheetId="9">'[13]2+'!$KK:$KL</definedName>
    <definedName name="ж75" localSheetId="6">'[13]2+'!$KK:$KL</definedName>
    <definedName name="ж75" localSheetId="12">'[13]2+'!$KK:$KL</definedName>
    <definedName name="ж75">'[14]2+'!$KK:$KL</definedName>
    <definedName name="ж76" localSheetId="7">'[12]2+'!$KO:$KP</definedName>
    <definedName name="ж76" localSheetId="15">'[12]2+'!$KO:$KP</definedName>
    <definedName name="ж76" localSheetId="18">'[13]2+'!$KO:$KP</definedName>
    <definedName name="ж76" localSheetId="17">'[12]2+'!$KO:$KP</definedName>
    <definedName name="ж76" localSheetId="11">'[13]2+'!$KO:$KP</definedName>
    <definedName name="ж76" localSheetId="10">'[13]2+'!$KO:$KP</definedName>
    <definedName name="ж76" localSheetId="8">'[13]2+'!$KO:$KP</definedName>
    <definedName name="ж76" localSheetId="5">'[13]2+'!$KO:$KP</definedName>
    <definedName name="ж76" localSheetId="9">'[13]2+'!$KO:$KP</definedName>
    <definedName name="ж76" localSheetId="6">'[13]2+'!$KO:$KP</definedName>
    <definedName name="ж76" localSheetId="12">'[13]2+'!$KO:$KP</definedName>
    <definedName name="ж76">'[14]2+'!$KO:$KP</definedName>
    <definedName name="ж77" localSheetId="7">'[12]2+'!$KS:$KT</definedName>
    <definedName name="ж77" localSheetId="15">'[12]2+'!$KS:$KT</definedName>
    <definedName name="ж77" localSheetId="18">'[13]2+'!$KS:$KT</definedName>
    <definedName name="ж77" localSheetId="17">'[12]2+'!$KS:$KT</definedName>
    <definedName name="ж77" localSheetId="11">'[13]2+'!$KS:$KT</definedName>
    <definedName name="ж77" localSheetId="10">'[13]2+'!$KS:$KT</definedName>
    <definedName name="ж77" localSheetId="8">'[13]2+'!$KS:$KT</definedName>
    <definedName name="ж77" localSheetId="5">'[13]2+'!$KS:$KT</definedName>
    <definedName name="ж77" localSheetId="9">'[13]2+'!$KS:$KT</definedName>
    <definedName name="ж77" localSheetId="6">'[13]2+'!$KS:$KT</definedName>
    <definedName name="ж77" localSheetId="12">'[13]2+'!$KS:$KT</definedName>
    <definedName name="ж77">'[14]2+'!$KS:$KT</definedName>
    <definedName name="ж78" localSheetId="7">'[12]2+'!$KW:$KX</definedName>
    <definedName name="ж78" localSheetId="15">'[12]2+'!$KW:$KX</definedName>
    <definedName name="ж78" localSheetId="18">'[13]2+'!$KW:$KX</definedName>
    <definedName name="ж78" localSheetId="17">'[12]2+'!$KW:$KX</definedName>
    <definedName name="ж78" localSheetId="11">'[13]2+'!$KW:$KX</definedName>
    <definedName name="ж78" localSheetId="10">'[13]2+'!$KW:$KX</definedName>
    <definedName name="ж78" localSheetId="8">'[13]2+'!$KW:$KX</definedName>
    <definedName name="ж78" localSheetId="5">'[13]2+'!$KW:$KX</definedName>
    <definedName name="ж78" localSheetId="9">'[13]2+'!$KW:$KX</definedName>
    <definedName name="ж78" localSheetId="6">'[13]2+'!$KW:$KX</definedName>
    <definedName name="ж78" localSheetId="12">'[13]2+'!$KW:$KX</definedName>
    <definedName name="ж78">'[14]2+'!$KW:$KX</definedName>
    <definedName name="ж79" localSheetId="7">'[12]2+'!$LA:$LB</definedName>
    <definedName name="ж79" localSheetId="15">'[12]2+'!$LA:$LB</definedName>
    <definedName name="ж79" localSheetId="18">'[13]2+'!$LA:$LB</definedName>
    <definedName name="ж79" localSheetId="17">'[12]2+'!$LA:$LB</definedName>
    <definedName name="ж79" localSheetId="11">'[13]2+'!$LA:$LB</definedName>
    <definedName name="ж79" localSheetId="10">'[13]2+'!$LA:$LB</definedName>
    <definedName name="ж79" localSheetId="8">'[13]2+'!$LA:$LB</definedName>
    <definedName name="ж79" localSheetId="5">'[13]2+'!$LA:$LB</definedName>
    <definedName name="ж79" localSheetId="9">'[13]2+'!$LA:$LB</definedName>
    <definedName name="ж79" localSheetId="6">'[13]2+'!$LA:$LB</definedName>
    <definedName name="ж79" localSheetId="12">'[13]2+'!$LA:$LB</definedName>
    <definedName name="ж79">'[14]2+'!$LA:$LB</definedName>
    <definedName name="ж8" localSheetId="7">'[12]2+'!$AC:$AD</definedName>
    <definedName name="ж8" localSheetId="15">'[12]2+'!$AC:$AD</definedName>
    <definedName name="ж8" localSheetId="18">'[13]2+'!$AC:$AD</definedName>
    <definedName name="ж8" localSheetId="17">'[12]2+'!$AC:$AD</definedName>
    <definedName name="ж8" localSheetId="11">'[13]2+'!$AC:$AD</definedName>
    <definedName name="ж8" localSheetId="10">'[13]2+'!$AC:$AD</definedName>
    <definedName name="ж8" localSheetId="8">'[13]2+'!$AC:$AD</definedName>
    <definedName name="ж8" localSheetId="5">'[13]2+'!$AC:$AD</definedName>
    <definedName name="ж8" localSheetId="9">'[13]2+'!$AC:$AD</definedName>
    <definedName name="ж8" localSheetId="6">'[13]2+'!$AC:$AD</definedName>
    <definedName name="ж8" localSheetId="12">'[13]2+'!$AC:$AD</definedName>
    <definedName name="ж8">'[14]2+'!$AC:$AD</definedName>
    <definedName name="ж80" localSheetId="7">'[12]2+'!$LE:$LF</definedName>
    <definedName name="ж80" localSheetId="15">'[12]2+'!$LE:$LF</definedName>
    <definedName name="ж80" localSheetId="18">'[13]2+'!$LE:$LF</definedName>
    <definedName name="ж80" localSheetId="17">'[12]2+'!$LE:$LF</definedName>
    <definedName name="ж80" localSheetId="11">'[13]2+'!$LE:$LF</definedName>
    <definedName name="ж80" localSheetId="10">'[13]2+'!$LE:$LF</definedName>
    <definedName name="ж80" localSheetId="8">'[13]2+'!$LE:$LF</definedName>
    <definedName name="ж80" localSheetId="5">'[13]2+'!$LE:$LF</definedName>
    <definedName name="ж80" localSheetId="9">'[13]2+'!$LE:$LF</definedName>
    <definedName name="ж80" localSheetId="6">'[13]2+'!$LE:$LF</definedName>
    <definedName name="ж80" localSheetId="12">'[13]2+'!$LE:$LF</definedName>
    <definedName name="ж80">'[14]2+'!$LE:$LF</definedName>
    <definedName name="ж81" localSheetId="7">'[12]2+'!$LI:$LJ</definedName>
    <definedName name="ж81" localSheetId="15">'[12]2+'!$LI:$LJ</definedName>
    <definedName name="ж81" localSheetId="18">'[13]2+'!$LI:$LJ</definedName>
    <definedName name="ж81" localSheetId="17">'[12]2+'!$LI:$LJ</definedName>
    <definedName name="ж81" localSheetId="11">'[13]2+'!$LI:$LJ</definedName>
    <definedName name="ж81" localSheetId="10">'[13]2+'!$LI:$LJ</definedName>
    <definedName name="ж81" localSheetId="8">'[13]2+'!$LI:$LJ</definedName>
    <definedName name="ж81" localSheetId="5">'[13]2+'!$LI:$LJ</definedName>
    <definedName name="ж81" localSheetId="9">'[13]2+'!$LI:$LJ</definedName>
    <definedName name="ж81" localSheetId="6">'[13]2+'!$LI:$LJ</definedName>
    <definedName name="ж81" localSheetId="12">'[13]2+'!$LI:$LJ</definedName>
    <definedName name="ж81">'[14]2+'!$LI:$LJ</definedName>
    <definedName name="ж82" localSheetId="7">'[12]2+'!$LM:$LN</definedName>
    <definedName name="ж82" localSheetId="15">'[12]2+'!$LM:$LN</definedName>
    <definedName name="ж82" localSheetId="18">'[13]2+'!$LM:$LN</definedName>
    <definedName name="ж82" localSheetId="17">'[12]2+'!$LM:$LN</definedName>
    <definedName name="ж82" localSheetId="11">'[13]2+'!$LM:$LN</definedName>
    <definedName name="ж82" localSheetId="10">'[13]2+'!$LM:$LN</definedName>
    <definedName name="ж82" localSheetId="8">'[13]2+'!$LM:$LN</definedName>
    <definedName name="ж82" localSheetId="5">'[13]2+'!$LM:$LN</definedName>
    <definedName name="ж82" localSheetId="9">'[13]2+'!$LM:$LN</definedName>
    <definedName name="ж82" localSheetId="6">'[13]2+'!$LM:$LN</definedName>
    <definedName name="ж82" localSheetId="12">'[13]2+'!$LM:$LN</definedName>
    <definedName name="ж82">'[14]2+'!$LM:$LN</definedName>
    <definedName name="ж83" localSheetId="7">'[12]2+'!$LQ:$LR</definedName>
    <definedName name="ж83" localSheetId="15">'[12]2+'!$LQ:$LR</definedName>
    <definedName name="ж83" localSheetId="18">'[13]2+'!$LQ:$LR</definedName>
    <definedName name="ж83" localSheetId="17">'[12]2+'!$LQ:$LR</definedName>
    <definedName name="ж83" localSheetId="11">'[13]2+'!$LQ:$LR</definedName>
    <definedName name="ж83" localSheetId="10">'[13]2+'!$LQ:$LR</definedName>
    <definedName name="ж83" localSheetId="8">'[13]2+'!$LQ:$LR</definedName>
    <definedName name="ж83" localSheetId="5">'[13]2+'!$LQ:$LR</definedName>
    <definedName name="ж83" localSheetId="9">'[13]2+'!$LQ:$LR</definedName>
    <definedName name="ж83" localSheetId="6">'[13]2+'!$LQ:$LR</definedName>
    <definedName name="ж83" localSheetId="12">'[13]2+'!$LQ:$LR</definedName>
    <definedName name="ж83">'[14]2+'!$LQ:$LR</definedName>
    <definedName name="ж84" localSheetId="7">'[12]2+'!$LU:$LV</definedName>
    <definedName name="ж84" localSheetId="15">'[12]2+'!$LU:$LV</definedName>
    <definedName name="ж84" localSheetId="18">'[13]2+'!$LU:$LV</definedName>
    <definedName name="ж84" localSheetId="17">'[12]2+'!$LU:$LV</definedName>
    <definedName name="ж84" localSheetId="11">'[13]2+'!$LU:$LV</definedName>
    <definedName name="ж84" localSheetId="10">'[13]2+'!$LU:$LV</definedName>
    <definedName name="ж84" localSheetId="8">'[13]2+'!$LU:$LV</definedName>
    <definedName name="ж84" localSheetId="5">'[13]2+'!$LU:$LV</definedName>
    <definedName name="ж84" localSheetId="9">'[13]2+'!$LU:$LV</definedName>
    <definedName name="ж84" localSheetId="6">'[13]2+'!$LU:$LV</definedName>
    <definedName name="ж84" localSheetId="12">'[13]2+'!$LU:$LV</definedName>
    <definedName name="ж84">'[14]2+'!$LU:$LV</definedName>
    <definedName name="ж85" localSheetId="7">'[12]2+'!$LY:$LZ</definedName>
    <definedName name="ж85" localSheetId="15">'[12]2+'!$LY:$LZ</definedName>
    <definedName name="ж85" localSheetId="18">'[13]2+'!$LY:$LZ</definedName>
    <definedName name="ж85" localSheetId="17">'[12]2+'!$LY:$LZ</definedName>
    <definedName name="ж85" localSheetId="11">'[13]2+'!$LY:$LZ</definedName>
    <definedName name="ж85" localSheetId="10">'[13]2+'!$LY:$LZ</definedName>
    <definedName name="ж85" localSheetId="8">'[13]2+'!$LY:$LZ</definedName>
    <definedName name="ж85" localSheetId="5">'[13]2+'!$LY:$LZ</definedName>
    <definedName name="ж85" localSheetId="9">'[13]2+'!$LY:$LZ</definedName>
    <definedName name="ж85" localSheetId="6">'[13]2+'!$LY:$LZ</definedName>
    <definedName name="ж85" localSheetId="12">'[13]2+'!$LY:$LZ</definedName>
    <definedName name="ж85">'[14]2+'!$LY:$LZ</definedName>
    <definedName name="ж86" localSheetId="7">'[12]2+'!$MC:$MD</definedName>
    <definedName name="ж86" localSheetId="15">'[12]2+'!$MC:$MD</definedName>
    <definedName name="ж86" localSheetId="18">'[13]2+'!$MC:$MD</definedName>
    <definedName name="ж86" localSheetId="17">'[12]2+'!$MC:$MD</definedName>
    <definedName name="ж86" localSheetId="11">'[13]2+'!$MC:$MD</definedName>
    <definedName name="ж86" localSheetId="10">'[13]2+'!$MC:$MD</definedName>
    <definedName name="ж86" localSheetId="8">'[13]2+'!$MC:$MD</definedName>
    <definedName name="ж86" localSheetId="5">'[13]2+'!$MC:$MD</definedName>
    <definedName name="ж86" localSheetId="9">'[13]2+'!$MC:$MD</definedName>
    <definedName name="ж86" localSheetId="6">'[13]2+'!$MC:$MD</definedName>
    <definedName name="ж86" localSheetId="12">'[13]2+'!$MC:$MD</definedName>
    <definedName name="ж86">'[14]2+'!$MC:$MD</definedName>
    <definedName name="ж87" localSheetId="7">'[12]2+'!$MG:$MH</definedName>
    <definedName name="ж87" localSheetId="15">'[12]2+'!$MG:$MH</definedName>
    <definedName name="ж87" localSheetId="18">'[13]2+'!$MG:$MH</definedName>
    <definedName name="ж87" localSheetId="17">'[12]2+'!$MG:$MH</definedName>
    <definedName name="ж87" localSheetId="11">'[13]2+'!$MG:$MH</definedName>
    <definedName name="ж87" localSheetId="10">'[13]2+'!$MG:$MH</definedName>
    <definedName name="ж87" localSheetId="8">'[13]2+'!$MG:$MH</definedName>
    <definedName name="ж87" localSheetId="5">'[13]2+'!$MG:$MH</definedName>
    <definedName name="ж87" localSheetId="9">'[13]2+'!$MG:$MH</definedName>
    <definedName name="ж87" localSheetId="6">'[13]2+'!$MG:$MH</definedName>
    <definedName name="ж87" localSheetId="12">'[13]2+'!$MG:$MH</definedName>
    <definedName name="ж87">'[14]2+'!$MG:$MH</definedName>
    <definedName name="ж88" localSheetId="7">'[12]2+'!$MK:$ML</definedName>
    <definedName name="ж88" localSheetId="15">'[12]2+'!$MK:$ML</definedName>
    <definedName name="ж88" localSheetId="18">'[13]2+'!$MK:$ML</definedName>
    <definedName name="ж88" localSheetId="17">'[12]2+'!$MK:$ML</definedName>
    <definedName name="ж88" localSheetId="11">'[13]2+'!$MK:$ML</definedName>
    <definedName name="ж88" localSheetId="10">'[13]2+'!$MK:$ML</definedName>
    <definedName name="ж88" localSheetId="8">'[13]2+'!$MK:$ML</definedName>
    <definedName name="ж88" localSheetId="5">'[13]2+'!$MK:$ML</definedName>
    <definedName name="ж88" localSheetId="9">'[13]2+'!$MK:$ML</definedName>
    <definedName name="ж88" localSheetId="6">'[13]2+'!$MK:$ML</definedName>
    <definedName name="ж88" localSheetId="12">'[13]2+'!$MK:$ML</definedName>
    <definedName name="ж88">'[14]2+'!$MK:$ML</definedName>
    <definedName name="ж89" localSheetId="7">'[12]2+'!$MO:$MP</definedName>
    <definedName name="ж89" localSheetId="15">'[12]2+'!$MO:$MP</definedName>
    <definedName name="ж89" localSheetId="18">'[13]2+'!$MO:$MP</definedName>
    <definedName name="ж89" localSheetId="17">'[12]2+'!$MO:$MP</definedName>
    <definedName name="ж89" localSheetId="11">'[13]2+'!$MO:$MP</definedName>
    <definedName name="ж89" localSheetId="10">'[13]2+'!$MO:$MP</definedName>
    <definedName name="ж89" localSheetId="8">'[13]2+'!$MO:$MP</definedName>
    <definedName name="ж89" localSheetId="5">'[13]2+'!$MO:$MP</definedName>
    <definedName name="ж89" localSheetId="9">'[13]2+'!$MO:$MP</definedName>
    <definedName name="ж89" localSheetId="6">'[13]2+'!$MO:$MP</definedName>
    <definedName name="ж89" localSheetId="12">'[13]2+'!$MO:$MP</definedName>
    <definedName name="ж89">'[14]2+'!$MO:$MP</definedName>
    <definedName name="ж9" localSheetId="7">'[12]2+'!$AG:$AH</definedName>
    <definedName name="ж9" localSheetId="15">'[12]2+'!$AG:$AH</definedName>
    <definedName name="ж9" localSheetId="18">'[13]2+'!$AG:$AH</definedName>
    <definedName name="ж9" localSheetId="17">'[12]2+'!$AG:$AH</definedName>
    <definedName name="ж9" localSheetId="11">'[13]2+'!$AG:$AH</definedName>
    <definedName name="ж9" localSheetId="10">'[13]2+'!$AG:$AH</definedName>
    <definedName name="ж9" localSheetId="8">'[13]2+'!$AG:$AH</definedName>
    <definedName name="ж9" localSheetId="5">'[13]2+'!$AG:$AH</definedName>
    <definedName name="ж9" localSheetId="9">'[13]2+'!$AG:$AH</definedName>
    <definedName name="ж9" localSheetId="6">'[13]2+'!$AG:$AH</definedName>
    <definedName name="ж9" localSheetId="12">'[13]2+'!$AG:$AH</definedName>
    <definedName name="ж9">'[14]2+'!$AG:$AH</definedName>
    <definedName name="ж90" localSheetId="7">'[12]2+'!$MS:$MT</definedName>
    <definedName name="ж90" localSheetId="15">'[12]2+'!$MS:$MT</definedName>
    <definedName name="ж90" localSheetId="18">'[13]2+'!$MS:$MT</definedName>
    <definedName name="ж90" localSheetId="17">'[12]2+'!$MS:$MT</definedName>
    <definedName name="ж90" localSheetId="11">'[13]2+'!$MS:$MT</definedName>
    <definedName name="ж90" localSheetId="10">'[13]2+'!$MS:$MT</definedName>
    <definedName name="ж90" localSheetId="8">'[13]2+'!$MS:$MT</definedName>
    <definedName name="ж90" localSheetId="5">'[13]2+'!$MS:$MT</definedName>
    <definedName name="ж90" localSheetId="9">'[13]2+'!$MS:$MT</definedName>
    <definedName name="ж90" localSheetId="6">'[13]2+'!$MS:$MT</definedName>
    <definedName name="ж90" localSheetId="12">'[13]2+'!$MS:$MT</definedName>
    <definedName name="ж90">'[14]2+'!$MS:$MT</definedName>
    <definedName name="ж91" localSheetId="7">'[12]2+'!$MW:$MX</definedName>
    <definedName name="ж91" localSheetId="15">'[12]2+'!$MW:$MX</definedName>
    <definedName name="ж91" localSheetId="18">'[13]2+'!$MW:$MX</definedName>
    <definedName name="ж91" localSheetId="17">'[12]2+'!$MW:$MX</definedName>
    <definedName name="ж91" localSheetId="11">'[13]2+'!$MW:$MX</definedName>
    <definedName name="ж91" localSheetId="10">'[13]2+'!$MW:$MX</definedName>
    <definedName name="ж91" localSheetId="8">'[13]2+'!$MW:$MX</definedName>
    <definedName name="ж91" localSheetId="5">'[13]2+'!$MW:$MX</definedName>
    <definedName name="ж91" localSheetId="9">'[13]2+'!$MW:$MX</definedName>
    <definedName name="ж91" localSheetId="6">'[13]2+'!$MW:$MX</definedName>
    <definedName name="ж91" localSheetId="12">'[13]2+'!$MW:$MX</definedName>
    <definedName name="ж91">'[14]2+'!$MW:$MX</definedName>
    <definedName name="ж92" localSheetId="7">'[12]2+'!$NA:$NB</definedName>
    <definedName name="ж92" localSheetId="15">'[12]2+'!$NA:$NB</definedName>
    <definedName name="ж92" localSheetId="18">'[13]2+'!$NA:$NB</definedName>
    <definedName name="ж92" localSheetId="17">'[12]2+'!$NA:$NB</definedName>
    <definedName name="ж92" localSheetId="11">'[13]2+'!$NA:$NB</definedName>
    <definedName name="ж92" localSheetId="10">'[13]2+'!$NA:$NB</definedName>
    <definedName name="ж92" localSheetId="8">'[13]2+'!$NA:$NB</definedName>
    <definedName name="ж92" localSheetId="5">'[13]2+'!$NA:$NB</definedName>
    <definedName name="ж92" localSheetId="9">'[13]2+'!$NA:$NB</definedName>
    <definedName name="ж92" localSheetId="6">'[13]2+'!$NA:$NB</definedName>
    <definedName name="ж92" localSheetId="12">'[13]2+'!$NA:$NB</definedName>
    <definedName name="ж92">'[14]2+'!$NA:$NB</definedName>
    <definedName name="ж93" localSheetId="7">'[12]2+'!$NE:$NF</definedName>
    <definedName name="ж93" localSheetId="15">'[12]2+'!$NE:$NF</definedName>
    <definedName name="ж93" localSheetId="18">'[13]2+'!$NE:$NF</definedName>
    <definedName name="ж93" localSheetId="17">'[12]2+'!$NE:$NF</definedName>
    <definedName name="ж93" localSheetId="11">'[13]2+'!$NE:$NF</definedName>
    <definedName name="ж93" localSheetId="10">'[13]2+'!$NE:$NF</definedName>
    <definedName name="ж93" localSheetId="8">'[13]2+'!$NE:$NF</definedName>
    <definedName name="ж93" localSheetId="5">'[13]2+'!$NE:$NF</definedName>
    <definedName name="ж93" localSheetId="9">'[13]2+'!$NE:$NF</definedName>
    <definedName name="ж93" localSheetId="6">'[13]2+'!$NE:$NF</definedName>
    <definedName name="ж93" localSheetId="12">'[13]2+'!$NE:$NF</definedName>
    <definedName name="ж93">'[14]2+'!$NE:$NF</definedName>
    <definedName name="ж94" localSheetId="7">'[12]2+'!$NI:$NJ</definedName>
    <definedName name="ж94" localSheetId="15">'[12]2+'!$NI:$NJ</definedName>
    <definedName name="ж94" localSheetId="18">'[13]2+'!$NI:$NJ</definedName>
    <definedName name="ж94" localSheetId="17">'[12]2+'!$NI:$NJ</definedName>
    <definedName name="ж94" localSheetId="11">'[13]2+'!$NI:$NJ</definedName>
    <definedName name="ж94" localSheetId="10">'[13]2+'!$NI:$NJ</definedName>
    <definedName name="ж94" localSheetId="8">'[13]2+'!$NI:$NJ</definedName>
    <definedName name="ж94" localSheetId="5">'[13]2+'!$NI:$NJ</definedName>
    <definedName name="ж94" localSheetId="9">'[13]2+'!$NI:$NJ</definedName>
    <definedName name="ж94" localSheetId="6">'[13]2+'!$NI:$NJ</definedName>
    <definedName name="ж94" localSheetId="12">'[13]2+'!$NI:$NJ</definedName>
    <definedName name="ж94">'[14]2+'!$NI:$NJ</definedName>
    <definedName name="ж95" localSheetId="7">'[12]2+'!$NM:$NN</definedName>
    <definedName name="ж95" localSheetId="15">'[12]2+'!$NM:$NN</definedName>
    <definedName name="ж95" localSheetId="18">'[13]2+'!$NM:$NN</definedName>
    <definedName name="ж95" localSheetId="17">'[12]2+'!$NM:$NN</definedName>
    <definedName name="ж95" localSheetId="11">'[13]2+'!$NM:$NN</definedName>
    <definedName name="ж95" localSheetId="10">'[13]2+'!$NM:$NN</definedName>
    <definedName name="ж95" localSheetId="8">'[13]2+'!$NM:$NN</definedName>
    <definedName name="ж95" localSheetId="5">'[13]2+'!$NM:$NN</definedName>
    <definedName name="ж95" localSheetId="9">'[13]2+'!$NM:$NN</definedName>
    <definedName name="ж95" localSheetId="6">'[13]2+'!$NM:$NN</definedName>
    <definedName name="ж95" localSheetId="12">'[13]2+'!$NM:$NN</definedName>
    <definedName name="ж95">'[14]2+'!$NM:$NN</definedName>
    <definedName name="ж96" localSheetId="7">'[12]2+'!$NQ:$NR</definedName>
    <definedName name="ж96" localSheetId="15">'[12]2+'!$NQ:$NR</definedName>
    <definedName name="ж96" localSheetId="18">'[13]2+'!$NQ:$NR</definedName>
    <definedName name="ж96" localSheetId="17">'[12]2+'!$NQ:$NR</definedName>
    <definedName name="ж96" localSheetId="11">'[13]2+'!$NQ:$NR</definedName>
    <definedName name="ж96" localSheetId="10">'[13]2+'!$NQ:$NR</definedName>
    <definedName name="ж96" localSheetId="8">'[13]2+'!$NQ:$NR</definedName>
    <definedName name="ж96" localSheetId="5">'[13]2+'!$NQ:$NR</definedName>
    <definedName name="ж96" localSheetId="9">'[13]2+'!$NQ:$NR</definedName>
    <definedName name="ж96" localSheetId="6">'[13]2+'!$NQ:$NR</definedName>
    <definedName name="ж96" localSheetId="12">'[13]2+'!$NQ:$NR</definedName>
    <definedName name="ж96">'[14]2+'!$NQ:$NR</definedName>
    <definedName name="ж97" localSheetId="7">'[12]2+'!$NU:$NV</definedName>
    <definedName name="ж97" localSheetId="15">'[12]2+'!$NU:$NV</definedName>
    <definedName name="ж97" localSheetId="18">'[13]2+'!$NU:$NV</definedName>
    <definedName name="ж97" localSheetId="17">'[12]2+'!$NU:$NV</definedName>
    <definedName name="ж97" localSheetId="11">'[13]2+'!$NU:$NV</definedName>
    <definedName name="ж97" localSheetId="10">'[13]2+'!$NU:$NV</definedName>
    <definedName name="ж97" localSheetId="8">'[13]2+'!$NU:$NV</definedName>
    <definedName name="ж97" localSheetId="5">'[13]2+'!$NU:$NV</definedName>
    <definedName name="ж97" localSheetId="9">'[13]2+'!$NU:$NV</definedName>
    <definedName name="ж97" localSheetId="6">'[13]2+'!$NU:$NV</definedName>
    <definedName name="ж97" localSheetId="12">'[13]2+'!$NU:$NV</definedName>
    <definedName name="ж97">'[14]2+'!$NU:$NV</definedName>
    <definedName name="ж98" localSheetId="7">'[12]2+'!$NY:$NZ</definedName>
    <definedName name="ж98" localSheetId="15">'[12]2+'!$NY:$NZ</definedName>
    <definedName name="ж98" localSheetId="18">'[13]2+'!$NY:$NZ</definedName>
    <definedName name="ж98" localSheetId="17">'[12]2+'!$NY:$NZ</definedName>
    <definedName name="ж98" localSheetId="11">'[13]2+'!$NY:$NZ</definedName>
    <definedName name="ж98" localSheetId="10">'[13]2+'!$NY:$NZ</definedName>
    <definedName name="ж98" localSheetId="8">'[13]2+'!$NY:$NZ</definedName>
    <definedName name="ж98" localSheetId="5">'[13]2+'!$NY:$NZ</definedName>
    <definedName name="ж98" localSheetId="9">'[13]2+'!$NY:$NZ</definedName>
    <definedName name="ж98" localSheetId="6">'[13]2+'!$NY:$NZ</definedName>
    <definedName name="ж98" localSheetId="12">'[13]2+'!$NY:$NZ</definedName>
    <definedName name="ж98">'[14]2+'!$NY:$NZ</definedName>
    <definedName name="ж99" localSheetId="7">'[12]2+'!$OC:$OD</definedName>
    <definedName name="ж99" localSheetId="15">'[12]2+'!$OC:$OD</definedName>
    <definedName name="ж99" localSheetId="18">'[13]2+'!$OC:$OD</definedName>
    <definedName name="ж99" localSheetId="17">'[12]2+'!$OC:$OD</definedName>
    <definedName name="ж99" localSheetId="11">'[13]2+'!$OC:$OD</definedName>
    <definedName name="ж99" localSheetId="10">'[13]2+'!$OC:$OD</definedName>
    <definedName name="ж99" localSheetId="8">'[13]2+'!$OC:$OD</definedName>
    <definedName name="ж99" localSheetId="5">'[13]2+'!$OC:$OD</definedName>
    <definedName name="ж99" localSheetId="9">'[13]2+'!$OC:$OD</definedName>
    <definedName name="ж99" localSheetId="6">'[13]2+'!$OC:$OD</definedName>
    <definedName name="ж99" localSheetId="12">'[13]2+'!$OC:$OD</definedName>
    <definedName name="ж99">'[14]2+'!$OC:$OD</definedName>
    <definedName name="Жен.конс." localSheetId="28">#REF!</definedName>
    <definedName name="Жен.конс." localSheetId="3">#REF!</definedName>
    <definedName name="Жен.конс." localSheetId="1">#REF!</definedName>
    <definedName name="Жен.конс." localSheetId="7">#REF!</definedName>
    <definedName name="Жен.конс." localSheetId="14">#REF!</definedName>
    <definedName name="Жен.конс." localSheetId="15">#REF!</definedName>
    <definedName name="Жен.конс." localSheetId="25">#REF!</definedName>
    <definedName name="Жен.конс." localSheetId="18">#REF!</definedName>
    <definedName name="Жен.конс." localSheetId="17">#REF!</definedName>
    <definedName name="Жен.конс." localSheetId="29">#REF!</definedName>
    <definedName name="Жен.конс." localSheetId="11">#REF!</definedName>
    <definedName name="Жен.конс." localSheetId="10">#REF!</definedName>
    <definedName name="Жен.конс." localSheetId="8">#REF!</definedName>
    <definedName name="Жен.конс." localSheetId="16">#REF!</definedName>
    <definedName name="Жен.конс." localSheetId="5">#REF!</definedName>
    <definedName name="Жен.конс." localSheetId="9">#REF!</definedName>
    <definedName name="Жен.конс." localSheetId="31">#REF!</definedName>
    <definedName name="Жен.конс." localSheetId="6">#REF!</definedName>
    <definedName name="Жен.конс." localSheetId="26">#REF!</definedName>
    <definedName name="Жен.конс." localSheetId="13">#REF!</definedName>
    <definedName name="Жен.конс." localSheetId="12">#REF!</definedName>
    <definedName name="Жен.конс." localSheetId="27">#REF!</definedName>
    <definedName name="Жен.конс.">#REF!</definedName>
    <definedName name="жж0" localSheetId="7">'[12]0-2'!$D:$E</definedName>
    <definedName name="жж0" localSheetId="15">'[12]0-2'!$D:$E</definedName>
    <definedName name="жж0" localSheetId="18">'[13]0-2'!$D:$E</definedName>
    <definedName name="жж0" localSheetId="17">'[12]0-2'!$D:$E</definedName>
    <definedName name="жж0" localSheetId="11">'[13]0-2'!$D:$E</definedName>
    <definedName name="жж0" localSheetId="10">'[13]0-2'!$D:$E</definedName>
    <definedName name="жж0" localSheetId="8">'[13]0-2'!$D:$E</definedName>
    <definedName name="жж0" localSheetId="5">'[13]0-2'!$D:$E</definedName>
    <definedName name="жж0" localSheetId="9">'[13]0-2'!$D:$E</definedName>
    <definedName name="жж0" localSheetId="6">'[13]0-2'!$D:$E</definedName>
    <definedName name="жж0" localSheetId="12">'[13]0-2'!$D:$E</definedName>
    <definedName name="жж0">'[14]0-2'!$D:$E</definedName>
    <definedName name="жж1" localSheetId="7">'[12]0-2'!$H:$I</definedName>
    <definedName name="жж1" localSheetId="15">'[12]0-2'!$H:$I</definedName>
    <definedName name="жж1" localSheetId="18">'[13]0-2'!$H:$I</definedName>
    <definedName name="жж1" localSheetId="17">'[12]0-2'!$H:$I</definedName>
    <definedName name="жж1" localSheetId="11">'[13]0-2'!$H:$I</definedName>
    <definedName name="жж1" localSheetId="10">'[13]0-2'!$H:$I</definedName>
    <definedName name="жж1" localSheetId="8">'[13]0-2'!$H:$I</definedName>
    <definedName name="жж1" localSheetId="5">'[13]0-2'!$H:$I</definedName>
    <definedName name="жж1" localSheetId="9">'[13]0-2'!$H:$I</definedName>
    <definedName name="жж1" localSheetId="6">'[13]0-2'!$H:$I</definedName>
    <definedName name="жж1" localSheetId="12">'[13]0-2'!$H:$I</definedName>
    <definedName name="жж1">'[14]0-2'!$H:$I</definedName>
    <definedName name="жж10" localSheetId="7">'[12]0-2'!$AR:$AS</definedName>
    <definedName name="жж10" localSheetId="15">'[12]0-2'!$AR:$AS</definedName>
    <definedName name="жж10" localSheetId="18">'[13]0-2'!$AR:$AS</definedName>
    <definedName name="жж10" localSheetId="17">'[12]0-2'!$AR:$AS</definedName>
    <definedName name="жж10" localSheetId="11">'[13]0-2'!$AR:$AS</definedName>
    <definedName name="жж10" localSheetId="10">'[13]0-2'!$AR:$AS</definedName>
    <definedName name="жж10" localSheetId="8">'[13]0-2'!$AR:$AS</definedName>
    <definedName name="жж10" localSheetId="5">'[13]0-2'!$AR:$AS</definedName>
    <definedName name="жж10" localSheetId="9">'[13]0-2'!$AR:$AS</definedName>
    <definedName name="жж10" localSheetId="6">'[13]0-2'!$AR:$AS</definedName>
    <definedName name="жж10" localSheetId="12">'[13]0-2'!$AR:$AS</definedName>
    <definedName name="жж10">'[14]0-2'!$AR:$AS</definedName>
    <definedName name="жж11" localSheetId="7">'[12]0-2'!$AV:$AW</definedName>
    <definedName name="жж11" localSheetId="15">'[12]0-2'!$AV:$AW</definedName>
    <definedName name="жж11" localSheetId="18">'[13]0-2'!$AV:$AW</definedName>
    <definedName name="жж11" localSheetId="17">'[12]0-2'!$AV:$AW</definedName>
    <definedName name="жж11" localSheetId="11">'[13]0-2'!$AV:$AW</definedName>
    <definedName name="жж11" localSheetId="10">'[13]0-2'!$AV:$AW</definedName>
    <definedName name="жж11" localSheetId="8">'[13]0-2'!$AV:$AW</definedName>
    <definedName name="жж11" localSheetId="5">'[13]0-2'!$AV:$AW</definedName>
    <definedName name="жж11" localSheetId="9">'[13]0-2'!$AV:$AW</definedName>
    <definedName name="жж11" localSheetId="6">'[13]0-2'!$AV:$AW</definedName>
    <definedName name="жж11" localSheetId="12">'[13]0-2'!$AV:$AW</definedName>
    <definedName name="жж11">'[14]0-2'!$AV:$AW</definedName>
    <definedName name="жж12" localSheetId="7">'[12]0-2'!$AZ:$BA</definedName>
    <definedName name="жж12" localSheetId="15">'[12]0-2'!$AZ:$BA</definedName>
    <definedName name="жж12" localSheetId="18">'[13]0-2'!$AZ:$BA</definedName>
    <definedName name="жж12" localSheetId="17">'[12]0-2'!$AZ:$BA</definedName>
    <definedName name="жж12" localSheetId="11">'[13]0-2'!$AZ:$BA</definedName>
    <definedName name="жж12" localSheetId="10">'[13]0-2'!$AZ:$BA</definedName>
    <definedName name="жж12" localSheetId="8">'[13]0-2'!$AZ:$BA</definedName>
    <definedName name="жж12" localSheetId="5">'[13]0-2'!$AZ:$BA</definedName>
    <definedName name="жж12" localSheetId="9">'[13]0-2'!$AZ:$BA</definedName>
    <definedName name="жж12" localSheetId="6">'[13]0-2'!$AZ:$BA</definedName>
    <definedName name="жж12" localSheetId="12">'[13]0-2'!$AZ:$BA</definedName>
    <definedName name="жж12">'[14]0-2'!$AZ:$BA</definedName>
    <definedName name="жж13" localSheetId="7">'[12]0-2'!$BD:$BE</definedName>
    <definedName name="жж13" localSheetId="15">'[12]0-2'!$BD:$BE</definedName>
    <definedName name="жж13" localSheetId="18">'[13]0-2'!$BD:$BE</definedName>
    <definedName name="жж13" localSheetId="17">'[12]0-2'!$BD:$BE</definedName>
    <definedName name="жж13" localSheetId="11">'[13]0-2'!$BD:$BE</definedName>
    <definedName name="жж13" localSheetId="10">'[13]0-2'!$BD:$BE</definedName>
    <definedName name="жж13" localSheetId="8">'[13]0-2'!$BD:$BE</definedName>
    <definedName name="жж13" localSheetId="5">'[13]0-2'!$BD:$BE</definedName>
    <definedName name="жж13" localSheetId="9">'[13]0-2'!$BD:$BE</definedName>
    <definedName name="жж13" localSheetId="6">'[13]0-2'!$BD:$BE</definedName>
    <definedName name="жж13" localSheetId="12">'[13]0-2'!$BD:$BE</definedName>
    <definedName name="жж13">'[14]0-2'!$BD:$BE</definedName>
    <definedName name="жж14" localSheetId="7">'[12]0-2'!$BH:$BI</definedName>
    <definedName name="жж14" localSheetId="15">'[12]0-2'!$BH:$BI</definedName>
    <definedName name="жж14" localSheetId="18">'[13]0-2'!$BH:$BI</definedName>
    <definedName name="жж14" localSheetId="17">'[12]0-2'!$BH:$BI</definedName>
    <definedName name="жж14" localSheetId="11">'[13]0-2'!$BH:$BI</definedName>
    <definedName name="жж14" localSheetId="10">'[13]0-2'!$BH:$BI</definedName>
    <definedName name="жж14" localSheetId="8">'[13]0-2'!$BH:$BI</definedName>
    <definedName name="жж14" localSheetId="5">'[13]0-2'!$BH:$BI</definedName>
    <definedName name="жж14" localSheetId="9">'[13]0-2'!$BH:$BI</definedName>
    <definedName name="жж14" localSheetId="6">'[13]0-2'!$BH:$BI</definedName>
    <definedName name="жж14" localSheetId="12">'[13]0-2'!$BH:$BI</definedName>
    <definedName name="жж14">'[14]0-2'!$BH:$BI</definedName>
    <definedName name="жж15" localSheetId="7">'[12]0-2'!$BL:$BM</definedName>
    <definedName name="жж15" localSheetId="15">'[12]0-2'!$BL:$BM</definedName>
    <definedName name="жж15" localSheetId="18">'[13]0-2'!$BL:$BM</definedName>
    <definedName name="жж15" localSheetId="17">'[12]0-2'!$BL:$BM</definedName>
    <definedName name="жж15" localSheetId="11">'[13]0-2'!$BL:$BM</definedName>
    <definedName name="жж15" localSheetId="10">'[13]0-2'!$BL:$BM</definedName>
    <definedName name="жж15" localSheetId="8">'[13]0-2'!$BL:$BM</definedName>
    <definedName name="жж15" localSheetId="5">'[13]0-2'!$BL:$BM</definedName>
    <definedName name="жж15" localSheetId="9">'[13]0-2'!$BL:$BM</definedName>
    <definedName name="жж15" localSheetId="6">'[13]0-2'!$BL:$BM</definedName>
    <definedName name="жж15" localSheetId="12">'[13]0-2'!$BL:$BM</definedName>
    <definedName name="жж15">'[14]0-2'!$BL:$BM</definedName>
    <definedName name="жж16" localSheetId="7">'[12]0-2'!$BP:$BQ</definedName>
    <definedName name="жж16" localSheetId="15">'[12]0-2'!$BP:$BQ</definedName>
    <definedName name="жж16" localSheetId="18">'[13]0-2'!$BP:$BQ</definedName>
    <definedName name="жж16" localSheetId="17">'[12]0-2'!$BP:$BQ</definedName>
    <definedName name="жж16" localSheetId="11">'[13]0-2'!$BP:$BQ</definedName>
    <definedName name="жж16" localSheetId="10">'[13]0-2'!$BP:$BQ</definedName>
    <definedName name="жж16" localSheetId="8">'[13]0-2'!$BP:$BQ</definedName>
    <definedName name="жж16" localSheetId="5">'[13]0-2'!$BP:$BQ</definedName>
    <definedName name="жж16" localSheetId="9">'[13]0-2'!$BP:$BQ</definedName>
    <definedName name="жж16" localSheetId="6">'[13]0-2'!$BP:$BQ</definedName>
    <definedName name="жж16" localSheetId="12">'[13]0-2'!$BP:$BQ</definedName>
    <definedName name="жж16">'[14]0-2'!$BP:$BQ</definedName>
    <definedName name="жж17" localSheetId="7">'[12]0-2'!$BT:$BU</definedName>
    <definedName name="жж17" localSheetId="15">'[12]0-2'!$BT:$BU</definedName>
    <definedName name="жж17" localSheetId="18">'[13]0-2'!$BT:$BU</definedName>
    <definedName name="жж17" localSheetId="17">'[12]0-2'!$BT:$BU</definedName>
    <definedName name="жж17" localSheetId="11">'[13]0-2'!$BT:$BU</definedName>
    <definedName name="жж17" localSheetId="10">'[13]0-2'!$BT:$BU</definedName>
    <definedName name="жж17" localSheetId="8">'[13]0-2'!$BT:$BU</definedName>
    <definedName name="жж17" localSheetId="5">'[13]0-2'!$BT:$BU</definedName>
    <definedName name="жж17" localSheetId="9">'[13]0-2'!$BT:$BU</definedName>
    <definedName name="жж17" localSheetId="6">'[13]0-2'!$BT:$BU</definedName>
    <definedName name="жж17" localSheetId="12">'[13]0-2'!$BT:$BU</definedName>
    <definedName name="жж17">'[14]0-2'!$BT:$BU</definedName>
    <definedName name="жж18" localSheetId="7">'[12]0-2'!$BX:$BY</definedName>
    <definedName name="жж18" localSheetId="15">'[12]0-2'!$BX:$BY</definedName>
    <definedName name="жж18" localSheetId="18">'[13]0-2'!$BX:$BY</definedName>
    <definedName name="жж18" localSheetId="17">'[12]0-2'!$BX:$BY</definedName>
    <definedName name="жж18" localSheetId="11">'[13]0-2'!$BX:$BY</definedName>
    <definedName name="жж18" localSheetId="10">'[13]0-2'!$BX:$BY</definedName>
    <definedName name="жж18" localSheetId="8">'[13]0-2'!$BX:$BY</definedName>
    <definedName name="жж18" localSheetId="5">'[13]0-2'!$BX:$BY</definedName>
    <definedName name="жж18" localSheetId="9">'[13]0-2'!$BX:$BY</definedName>
    <definedName name="жж18" localSheetId="6">'[13]0-2'!$BX:$BY</definedName>
    <definedName name="жж18" localSheetId="12">'[13]0-2'!$BX:$BY</definedName>
    <definedName name="жж18">'[14]0-2'!$BX:$BY</definedName>
    <definedName name="жж19" localSheetId="7">'[12]0-2'!$CB:$CC</definedName>
    <definedName name="жж19" localSheetId="15">'[12]0-2'!$CB:$CC</definedName>
    <definedName name="жж19" localSheetId="18">'[13]0-2'!$CB:$CC</definedName>
    <definedName name="жж19" localSheetId="17">'[12]0-2'!$CB:$CC</definedName>
    <definedName name="жж19" localSheetId="11">'[13]0-2'!$CB:$CC</definedName>
    <definedName name="жж19" localSheetId="10">'[13]0-2'!$CB:$CC</definedName>
    <definedName name="жж19" localSheetId="8">'[13]0-2'!$CB:$CC</definedName>
    <definedName name="жж19" localSheetId="5">'[13]0-2'!$CB:$CC</definedName>
    <definedName name="жж19" localSheetId="9">'[13]0-2'!$CB:$CC</definedName>
    <definedName name="жж19" localSheetId="6">'[13]0-2'!$CB:$CC</definedName>
    <definedName name="жж19" localSheetId="12">'[13]0-2'!$CB:$CC</definedName>
    <definedName name="жж19">'[14]0-2'!$CB:$CC</definedName>
    <definedName name="жж2" localSheetId="7">'[12]0-2'!$L:$M</definedName>
    <definedName name="жж2" localSheetId="15">'[12]0-2'!$L:$M</definedName>
    <definedName name="жж2" localSheetId="18">'[13]0-2'!$L:$M</definedName>
    <definedName name="жж2" localSheetId="17">'[12]0-2'!$L:$M</definedName>
    <definedName name="жж2" localSheetId="11">'[13]0-2'!$L:$M</definedName>
    <definedName name="жж2" localSheetId="10">'[13]0-2'!$L:$M</definedName>
    <definedName name="жж2" localSheetId="8">'[13]0-2'!$L:$M</definedName>
    <definedName name="жж2" localSheetId="5">'[13]0-2'!$L:$M</definedName>
    <definedName name="жж2" localSheetId="9">'[13]0-2'!$L:$M</definedName>
    <definedName name="жж2" localSheetId="6">'[13]0-2'!$L:$M</definedName>
    <definedName name="жж2" localSheetId="12">'[13]0-2'!$L:$M</definedName>
    <definedName name="жж2">'[14]0-2'!$L:$M</definedName>
    <definedName name="жж20" localSheetId="7">'[12]0-2'!$CF:$CG</definedName>
    <definedName name="жж20" localSheetId="15">'[12]0-2'!$CF:$CG</definedName>
    <definedName name="жж20" localSheetId="18">'[13]0-2'!$CF:$CG</definedName>
    <definedName name="жж20" localSheetId="17">'[12]0-2'!$CF:$CG</definedName>
    <definedName name="жж20" localSheetId="11">'[13]0-2'!$CF:$CG</definedName>
    <definedName name="жж20" localSheetId="10">'[13]0-2'!$CF:$CG</definedName>
    <definedName name="жж20" localSheetId="8">'[13]0-2'!$CF:$CG</definedName>
    <definedName name="жж20" localSheetId="5">'[13]0-2'!$CF:$CG</definedName>
    <definedName name="жж20" localSheetId="9">'[13]0-2'!$CF:$CG</definedName>
    <definedName name="жж20" localSheetId="6">'[13]0-2'!$CF:$CG</definedName>
    <definedName name="жж20" localSheetId="12">'[13]0-2'!$CF:$CG</definedName>
    <definedName name="жж20">'[14]0-2'!$CF:$CG</definedName>
    <definedName name="жж21" localSheetId="7">'[12]0-2'!$CJ:$CK</definedName>
    <definedName name="жж21" localSheetId="15">'[12]0-2'!$CJ:$CK</definedName>
    <definedName name="жж21" localSheetId="18">'[13]0-2'!$CJ:$CK</definedName>
    <definedName name="жж21" localSheetId="17">'[12]0-2'!$CJ:$CK</definedName>
    <definedName name="жж21" localSheetId="11">'[13]0-2'!$CJ:$CK</definedName>
    <definedName name="жж21" localSheetId="10">'[13]0-2'!$CJ:$CK</definedName>
    <definedName name="жж21" localSheetId="8">'[13]0-2'!$CJ:$CK</definedName>
    <definedName name="жж21" localSheetId="5">'[13]0-2'!$CJ:$CK</definedName>
    <definedName name="жж21" localSheetId="9">'[13]0-2'!$CJ:$CK</definedName>
    <definedName name="жж21" localSheetId="6">'[13]0-2'!$CJ:$CK</definedName>
    <definedName name="жж21" localSheetId="12">'[13]0-2'!$CJ:$CK</definedName>
    <definedName name="жж21">'[14]0-2'!$CJ:$CK</definedName>
    <definedName name="жж22" localSheetId="7">'[12]0-2'!$CN:$CO</definedName>
    <definedName name="жж22" localSheetId="15">'[12]0-2'!$CN:$CO</definedName>
    <definedName name="жж22" localSheetId="18">'[13]0-2'!$CN:$CO</definedName>
    <definedName name="жж22" localSheetId="17">'[12]0-2'!$CN:$CO</definedName>
    <definedName name="жж22" localSheetId="11">'[13]0-2'!$CN:$CO</definedName>
    <definedName name="жж22" localSheetId="10">'[13]0-2'!$CN:$CO</definedName>
    <definedName name="жж22" localSheetId="8">'[13]0-2'!$CN:$CO</definedName>
    <definedName name="жж22" localSheetId="5">'[13]0-2'!$CN:$CO</definedName>
    <definedName name="жж22" localSheetId="9">'[13]0-2'!$CN:$CO</definedName>
    <definedName name="жж22" localSheetId="6">'[13]0-2'!$CN:$CO</definedName>
    <definedName name="жж22" localSheetId="12">'[13]0-2'!$CN:$CO</definedName>
    <definedName name="жж22">'[14]0-2'!$CN:$CO</definedName>
    <definedName name="жж23" localSheetId="7">'[12]0-2'!$CR:$CS</definedName>
    <definedName name="жж23" localSheetId="15">'[12]0-2'!$CR:$CS</definedName>
    <definedName name="жж23" localSheetId="18">'[13]0-2'!$CR:$CS</definedName>
    <definedName name="жж23" localSheetId="17">'[12]0-2'!$CR:$CS</definedName>
    <definedName name="жж23" localSheetId="11">'[13]0-2'!$CR:$CS</definedName>
    <definedName name="жж23" localSheetId="10">'[13]0-2'!$CR:$CS</definedName>
    <definedName name="жж23" localSheetId="8">'[13]0-2'!$CR:$CS</definedName>
    <definedName name="жж23" localSheetId="5">'[13]0-2'!$CR:$CS</definedName>
    <definedName name="жж23" localSheetId="9">'[13]0-2'!$CR:$CS</definedName>
    <definedName name="жж23" localSheetId="6">'[13]0-2'!$CR:$CS</definedName>
    <definedName name="жж23" localSheetId="12">'[13]0-2'!$CR:$CS</definedName>
    <definedName name="жж23">'[14]0-2'!$CR:$CS</definedName>
    <definedName name="жж3" localSheetId="7">'[12]0-2'!$P:$Q</definedName>
    <definedName name="жж3" localSheetId="15">'[12]0-2'!$P:$Q</definedName>
    <definedName name="жж3" localSheetId="18">'[13]0-2'!$P:$Q</definedName>
    <definedName name="жж3" localSheetId="17">'[12]0-2'!$P:$Q</definedName>
    <definedName name="жж3" localSheetId="11">'[13]0-2'!$P:$Q</definedName>
    <definedName name="жж3" localSheetId="10">'[13]0-2'!$P:$Q</definedName>
    <definedName name="жж3" localSheetId="8">'[13]0-2'!$P:$Q</definedName>
    <definedName name="жж3" localSheetId="5">'[13]0-2'!$P:$Q</definedName>
    <definedName name="жж3" localSheetId="9">'[13]0-2'!$P:$Q</definedName>
    <definedName name="жж3" localSheetId="6">'[13]0-2'!$P:$Q</definedName>
    <definedName name="жж3" localSheetId="12">'[13]0-2'!$P:$Q</definedName>
    <definedName name="жж3">'[14]0-2'!$P:$Q</definedName>
    <definedName name="жж4" localSheetId="7">'[12]0-2'!$T:$U</definedName>
    <definedName name="жж4" localSheetId="15">'[12]0-2'!$T:$U</definedName>
    <definedName name="жж4" localSheetId="18">'[13]0-2'!$T:$U</definedName>
    <definedName name="жж4" localSheetId="17">'[12]0-2'!$T:$U</definedName>
    <definedName name="жж4" localSheetId="11">'[13]0-2'!$T:$U</definedName>
    <definedName name="жж4" localSheetId="10">'[13]0-2'!$T:$U</definedName>
    <definedName name="жж4" localSheetId="8">'[13]0-2'!$T:$U</definedName>
    <definedName name="жж4" localSheetId="5">'[13]0-2'!$T:$U</definedName>
    <definedName name="жж4" localSheetId="9">'[13]0-2'!$T:$U</definedName>
    <definedName name="жж4" localSheetId="6">'[13]0-2'!$T:$U</definedName>
    <definedName name="жж4" localSheetId="12">'[13]0-2'!$T:$U</definedName>
    <definedName name="жж4">'[14]0-2'!$T:$U</definedName>
    <definedName name="жж5" localSheetId="7">'[12]0-2'!$X:$Y</definedName>
    <definedName name="жж5" localSheetId="15">'[12]0-2'!$X:$Y</definedName>
    <definedName name="жж5" localSheetId="18">'[13]0-2'!$X:$Y</definedName>
    <definedName name="жж5" localSheetId="17">'[12]0-2'!$X:$Y</definedName>
    <definedName name="жж5" localSheetId="11">'[13]0-2'!$X:$Y</definedName>
    <definedName name="жж5" localSheetId="10">'[13]0-2'!$X:$Y</definedName>
    <definedName name="жж5" localSheetId="8">'[13]0-2'!$X:$Y</definedName>
    <definedName name="жж5" localSheetId="5">'[13]0-2'!$X:$Y</definedName>
    <definedName name="жж5" localSheetId="9">'[13]0-2'!$X:$Y</definedName>
    <definedName name="жж5" localSheetId="6">'[13]0-2'!$X:$Y</definedName>
    <definedName name="жж5" localSheetId="12">'[13]0-2'!$X:$Y</definedName>
    <definedName name="жж5">'[14]0-2'!$X:$Y</definedName>
    <definedName name="жж6" localSheetId="7">'[12]0-2'!$AB:$AC</definedName>
    <definedName name="жж6" localSheetId="15">'[12]0-2'!$AB:$AC</definedName>
    <definedName name="жж6" localSheetId="18">'[13]0-2'!$AB:$AC</definedName>
    <definedName name="жж6" localSheetId="17">'[12]0-2'!$AB:$AC</definedName>
    <definedName name="жж6" localSheetId="11">'[13]0-2'!$AB:$AC</definedName>
    <definedName name="жж6" localSheetId="10">'[13]0-2'!$AB:$AC</definedName>
    <definedName name="жж6" localSheetId="8">'[13]0-2'!$AB:$AC</definedName>
    <definedName name="жж6" localSheetId="5">'[13]0-2'!$AB:$AC</definedName>
    <definedName name="жж6" localSheetId="9">'[13]0-2'!$AB:$AC</definedName>
    <definedName name="жж6" localSheetId="6">'[13]0-2'!$AB:$AC</definedName>
    <definedName name="жж6" localSheetId="12">'[13]0-2'!$AB:$AC</definedName>
    <definedName name="жж6">'[14]0-2'!$AB:$AC</definedName>
    <definedName name="жж7" localSheetId="7">'[12]0-2'!$AF:$AG</definedName>
    <definedName name="жж7" localSheetId="15">'[12]0-2'!$AF:$AG</definedName>
    <definedName name="жж7" localSheetId="18">'[13]0-2'!$AF:$AG</definedName>
    <definedName name="жж7" localSheetId="17">'[12]0-2'!$AF:$AG</definedName>
    <definedName name="жж7" localSheetId="11">'[13]0-2'!$AF:$AG</definedName>
    <definedName name="жж7" localSheetId="10">'[13]0-2'!$AF:$AG</definedName>
    <definedName name="жж7" localSheetId="8">'[13]0-2'!$AF:$AG</definedName>
    <definedName name="жж7" localSheetId="5">'[13]0-2'!$AF:$AG</definedName>
    <definedName name="жж7" localSheetId="9">'[13]0-2'!$AF:$AG</definedName>
    <definedName name="жж7" localSheetId="6">'[13]0-2'!$AF:$AG</definedName>
    <definedName name="жж7" localSheetId="12">'[13]0-2'!$AF:$AG</definedName>
    <definedName name="жж7">'[14]0-2'!$AF:$AG</definedName>
    <definedName name="жж8" localSheetId="7">'[12]0-2'!$AJ:$AK</definedName>
    <definedName name="жж8" localSheetId="15">'[12]0-2'!$AJ:$AK</definedName>
    <definedName name="жж8" localSheetId="18">'[13]0-2'!$AJ:$AK</definedName>
    <definedName name="жж8" localSheetId="17">'[12]0-2'!$AJ:$AK</definedName>
    <definedName name="жж8" localSheetId="11">'[13]0-2'!$AJ:$AK</definedName>
    <definedName name="жж8" localSheetId="10">'[13]0-2'!$AJ:$AK</definedName>
    <definedName name="жж8" localSheetId="8">'[13]0-2'!$AJ:$AK</definedName>
    <definedName name="жж8" localSheetId="5">'[13]0-2'!$AJ:$AK</definedName>
    <definedName name="жж8" localSheetId="9">'[13]0-2'!$AJ:$AK</definedName>
    <definedName name="жж8" localSheetId="6">'[13]0-2'!$AJ:$AK</definedName>
    <definedName name="жж8" localSheetId="12">'[13]0-2'!$AJ:$AK</definedName>
    <definedName name="жж8">'[14]0-2'!$AJ:$AK</definedName>
    <definedName name="жж9" localSheetId="7">'[12]0-2'!$AN:$AO</definedName>
    <definedName name="жж9" localSheetId="15">'[12]0-2'!$AN:$AO</definedName>
    <definedName name="жж9" localSheetId="18">'[13]0-2'!$AN:$AO</definedName>
    <definedName name="жж9" localSheetId="17">'[12]0-2'!$AN:$AO</definedName>
    <definedName name="жж9" localSheetId="11">'[13]0-2'!$AN:$AO</definedName>
    <definedName name="жж9" localSheetId="10">'[13]0-2'!$AN:$AO</definedName>
    <definedName name="жж9" localSheetId="8">'[13]0-2'!$AN:$AO</definedName>
    <definedName name="жж9" localSheetId="5">'[13]0-2'!$AN:$AO</definedName>
    <definedName name="жж9" localSheetId="9">'[13]0-2'!$AN:$AO</definedName>
    <definedName name="жж9" localSheetId="6">'[13]0-2'!$AN:$AO</definedName>
    <definedName name="жж9" localSheetId="12">'[13]0-2'!$AN:$AO</definedName>
    <definedName name="жж9">'[14]0-2'!$AN:$AO</definedName>
    <definedName name="_xlnm.Print_Titles" localSheetId="1">'ВМП КС (Пр.6-24)'!$A:$A,'ВМП КС (Пр.6-24)'!$2:$3</definedName>
    <definedName name="_xlnm.Print_Titles" localSheetId="2">'ДС(05-24)'!#REF!</definedName>
    <definedName name="_xlnm.Print_Titles" localSheetId="15">'Комп.пос. диспан.набл.Пр.4-24 '!$3:$5</definedName>
    <definedName name="_xlnm.Print_Titles" localSheetId="17">'Обращения 6-24 '!$4:$7</definedName>
    <definedName name="_xlnm.Print_Titles" localSheetId="0">'Объемы КС (Пр.6-24)'!$2:$4</definedName>
    <definedName name="_xlnm.Print_Titles" localSheetId="11">'Пос с др.целями(Пр.5-24)    '!$2:$6</definedName>
    <definedName name="_xlnm.Print_Titles" localSheetId="10">'Пос.сред.мед.персон (Пр.5-24)  '!$2:$6</definedName>
    <definedName name="_xlnm.Print_Titles" localSheetId="8">'Посещ. по диспн.набл.(Пр.3-24)'!$3:$8</definedName>
    <definedName name="_xlnm.Print_Titles" localSheetId="5">'Проф.Свод Пр.5-24'!$2:$7</definedName>
    <definedName name="_xlnm.Print_Titles" localSheetId="9">'Раз.пос.(Пр.5-24)  '!$2:$7</definedName>
    <definedName name="_xlnm.Print_Titles" localSheetId="31">'СМП 2024 (20-23)'!$4:$8</definedName>
    <definedName name="_xlnm.Print_Titles" localSheetId="6">'Углуб.диспан.(Пр.5-24) '!$3:$7</definedName>
    <definedName name="_xlnm.Print_Titles" localSheetId="12">'Школа сахар. диабета Пр.5-24'!$3:$6</definedName>
    <definedName name="ЗД" localSheetId="28">[5]Данные!$BY$3:$DB$3</definedName>
    <definedName name="ЗД" localSheetId="3">[5]Данные!$BY$3:$DB$3</definedName>
    <definedName name="ЗД" localSheetId="1">[6]Данные!$BY$3:$DB$3</definedName>
    <definedName name="ЗД" localSheetId="14">[6]Данные!$BY$3:$DB$3</definedName>
    <definedName name="ЗД" localSheetId="15">[5]Данные!$BY$3:$DB$3</definedName>
    <definedName name="ЗД" localSheetId="25">[6]Данные!$BY$3:$DB$3</definedName>
    <definedName name="ЗД" localSheetId="0">[6]Данные!$BY$3:$DB$3</definedName>
    <definedName name="ЗД" localSheetId="29">[5]Данные!$BY$3:$DB$3</definedName>
    <definedName name="ЗД" localSheetId="11">[7]Данные!$BY$3:$DB$3</definedName>
    <definedName name="ЗД" localSheetId="10">[5]Данные!$BY$3:$DB$3</definedName>
    <definedName name="ЗД" localSheetId="8">[5]Данные!$BY$3:$DB$3</definedName>
    <definedName name="ЗД" localSheetId="16">[5]Данные!$BY$3:$DB$3</definedName>
    <definedName name="ЗД" localSheetId="5">[7]Данные!$BY$3:$DB$3</definedName>
    <definedName name="ЗД" localSheetId="9">[8]Данные!$BY$3:$DB$3</definedName>
    <definedName name="ЗД" localSheetId="30">[6]Данные!$BY$3:$DB$3</definedName>
    <definedName name="ЗД" localSheetId="31">[5]Данные!$BY$3:$DB$3</definedName>
    <definedName name="ЗД" localSheetId="6">[5]Данные!$BY$3:$DB$3</definedName>
    <definedName name="ЗД" localSheetId="26">[6]Данные!$BY$3:$DB$3</definedName>
    <definedName name="ЗД" localSheetId="13">[7]Данные!$BY$3:$DB$3</definedName>
    <definedName name="ЗД" localSheetId="12">[5]Данные!$BY$3:$DB$3</definedName>
    <definedName name="ЗД" localSheetId="27">[5]Данные!$BY$3:$DB$3</definedName>
    <definedName name="ЗД">[6]Данные!$BY$3:$DB$3</definedName>
    <definedName name="иные" localSheetId="28">#REF!</definedName>
    <definedName name="иные" localSheetId="7">#REF!</definedName>
    <definedName name="иные" localSheetId="14">#REF!</definedName>
    <definedName name="иные" localSheetId="15">#REF!</definedName>
    <definedName name="иные" localSheetId="25">#REF!</definedName>
    <definedName name="иные" localSheetId="18">#REF!</definedName>
    <definedName name="иные" localSheetId="17">#REF!</definedName>
    <definedName name="иные" localSheetId="29">#REF!</definedName>
    <definedName name="иные" localSheetId="11">#REF!</definedName>
    <definedName name="иные" localSheetId="10">#REF!</definedName>
    <definedName name="иные" localSheetId="8">#REF!</definedName>
    <definedName name="иные" localSheetId="16">#REF!</definedName>
    <definedName name="иные" localSheetId="5">#REF!</definedName>
    <definedName name="иные" localSheetId="9">#REF!</definedName>
    <definedName name="иные" localSheetId="31">#REF!</definedName>
    <definedName name="иные" localSheetId="6">#REF!</definedName>
    <definedName name="иные" localSheetId="26">#REF!</definedName>
    <definedName name="иные" localSheetId="13">#REF!</definedName>
    <definedName name="иные" localSheetId="12">#REF!</definedName>
    <definedName name="иные" localSheetId="27">#REF!</definedName>
    <definedName name="иные">#REF!</definedName>
    <definedName name="м0" localSheetId="7">'[9]0-2'!$B:$C</definedName>
    <definedName name="м0" localSheetId="15">'[9]0-2'!$B:$C</definedName>
    <definedName name="м0" localSheetId="18">'[10]0-2'!$B:$C</definedName>
    <definedName name="м0" localSheetId="17">'[9]0-2'!$B:$C</definedName>
    <definedName name="м0" localSheetId="11">'[10]0-2'!$B:$C</definedName>
    <definedName name="м0" localSheetId="10">'[10]0-2'!$B:$C</definedName>
    <definedName name="м0" localSheetId="8">'[10]0-2'!$B:$C</definedName>
    <definedName name="м0" localSheetId="5">'[10]0-2'!$B:$C</definedName>
    <definedName name="м0" localSheetId="9">'[10]0-2'!$B:$C</definedName>
    <definedName name="м0" localSheetId="6">'[10]0-2'!$B:$C</definedName>
    <definedName name="м0" localSheetId="12">'[10]0-2'!$B:$C</definedName>
    <definedName name="м0">'[11]0-2'!$B:$C</definedName>
    <definedName name="м1" localSheetId="7">'[9]0-2'!$G:$H</definedName>
    <definedName name="м1" localSheetId="15">'[9]0-2'!$G:$H</definedName>
    <definedName name="м1" localSheetId="18">'[10]0-2'!$G:$H</definedName>
    <definedName name="м1" localSheetId="17">'[9]0-2'!$G:$H</definedName>
    <definedName name="м1" localSheetId="11">'[10]0-2'!$G:$H</definedName>
    <definedName name="м1" localSheetId="10">'[10]0-2'!$G:$H</definedName>
    <definedName name="м1" localSheetId="8">'[10]0-2'!$G:$H</definedName>
    <definedName name="м1" localSheetId="5">'[10]0-2'!$G:$H</definedName>
    <definedName name="м1" localSheetId="9">'[10]0-2'!$G:$H</definedName>
    <definedName name="м1" localSheetId="6">'[10]0-2'!$G:$H</definedName>
    <definedName name="м1" localSheetId="12">'[10]0-2'!$G:$H</definedName>
    <definedName name="м1">'[11]0-2'!$G:$H</definedName>
    <definedName name="м10" localSheetId="7">'[12]2+'!$AI:$AJ</definedName>
    <definedName name="м10" localSheetId="15">'[12]2+'!$AI:$AJ</definedName>
    <definedName name="м10" localSheetId="18">'[13]2+'!$AI:$AJ</definedName>
    <definedName name="м10" localSheetId="17">'[12]2+'!$AI:$AJ</definedName>
    <definedName name="м10" localSheetId="11">'[13]2+'!$AI:$AJ</definedName>
    <definedName name="м10" localSheetId="10">'[13]2+'!$AI:$AJ</definedName>
    <definedName name="м10" localSheetId="8">'[13]2+'!$AI:$AJ</definedName>
    <definedName name="м10" localSheetId="5">'[13]2+'!$AI:$AJ</definedName>
    <definedName name="м10" localSheetId="9">'[13]2+'!$AI:$AJ</definedName>
    <definedName name="м10" localSheetId="6">'[13]2+'!$AI:$AJ</definedName>
    <definedName name="м10" localSheetId="12">'[13]2+'!$AI:$AJ</definedName>
    <definedName name="м10">'[14]2+'!$AI:$AJ</definedName>
    <definedName name="м100" localSheetId="7">'[12]2+'!$OE:$OF</definedName>
    <definedName name="м100" localSheetId="15">'[12]2+'!$OE:$OF</definedName>
    <definedName name="м100" localSheetId="18">'[13]2+'!$OE:$OF</definedName>
    <definedName name="м100" localSheetId="17">'[12]2+'!$OE:$OF</definedName>
    <definedName name="м100" localSheetId="11">'[13]2+'!$OE:$OF</definedName>
    <definedName name="м100" localSheetId="10">'[13]2+'!$OE:$OF</definedName>
    <definedName name="м100" localSheetId="8">'[13]2+'!$OE:$OF</definedName>
    <definedName name="м100" localSheetId="5">'[13]2+'!$OE:$OF</definedName>
    <definedName name="м100" localSheetId="9">'[13]2+'!$OE:$OF</definedName>
    <definedName name="м100" localSheetId="6">'[13]2+'!$OE:$OF</definedName>
    <definedName name="м100" localSheetId="12">'[13]2+'!$OE:$OF</definedName>
    <definedName name="м100">'[14]2+'!$OE:$OF</definedName>
    <definedName name="м101" localSheetId="7">'[12]2+'!$OI:$OJ</definedName>
    <definedName name="м101" localSheetId="15">'[12]2+'!$OI:$OJ</definedName>
    <definedName name="м101" localSheetId="18">'[13]2+'!$OI:$OJ</definedName>
    <definedName name="м101" localSheetId="17">'[12]2+'!$OI:$OJ</definedName>
    <definedName name="м101" localSheetId="11">'[13]2+'!$OI:$OJ</definedName>
    <definedName name="м101" localSheetId="10">'[13]2+'!$OI:$OJ</definedName>
    <definedName name="м101" localSheetId="8">'[13]2+'!$OI:$OJ</definedName>
    <definedName name="м101" localSheetId="5">'[13]2+'!$OI:$OJ</definedName>
    <definedName name="м101" localSheetId="9">'[13]2+'!$OI:$OJ</definedName>
    <definedName name="м101" localSheetId="6">'[13]2+'!$OI:$OJ</definedName>
    <definedName name="м101" localSheetId="12">'[13]2+'!$OI:$OJ</definedName>
    <definedName name="м101">'[14]2+'!$OI:$OJ</definedName>
    <definedName name="м102" localSheetId="7">'[12]2+'!$OM:$ON</definedName>
    <definedName name="м102" localSheetId="15">'[12]2+'!$OM:$ON</definedName>
    <definedName name="м102" localSheetId="18">'[13]2+'!$OM:$ON</definedName>
    <definedName name="м102" localSheetId="17">'[12]2+'!$OM:$ON</definedName>
    <definedName name="м102" localSheetId="11">'[13]2+'!$OM:$ON</definedName>
    <definedName name="м102" localSheetId="10">'[13]2+'!$OM:$ON</definedName>
    <definedName name="м102" localSheetId="8">'[13]2+'!$OM:$ON</definedName>
    <definedName name="м102" localSheetId="5">'[13]2+'!$OM:$ON</definedName>
    <definedName name="м102" localSheetId="9">'[13]2+'!$OM:$ON</definedName>
    <definedName name="м102" localSheetId="6">'[13]2+'!$OM:$ON</definedName>
    <definedName name="м102" localSheetId="12">'[13]2+'!$OM:$ON</definedName>
    <definedName name="м102">'[14]2+'!$OM:$ON</definedName>
    <definedName name="м103" localSheetId="7">'[12]2+'!$OQ:$OR</definedName>
    <definedName name="м103" localSheetId="15">'[12]2+'!$OQ:$OR</definedName>
    <definedName name="м103" localSheetId="18">'[13]2+'!$OQ:$OR</definedName>
    <definedName name="м103" localSheetId="17">'[12]2+'!$OQ:$OR</definedName>
    <definedName name="м103" localSheetId="11">'[13]2+'!$OQ:$OR</definedName>
    <definedName name="м103" localSheetId="10">'[13]2+'!$OQ:$OR</definedName>
    <definedName name="м103" localSheetId="8">'[13]2+'!$OQ:$OR</definedName>
    <definedName name="м103" localSheetId="5">'[13]2+'!$OQ:$OR</definedName>
    <definedName name="м103" localSheetId="9">'[13]2+'!$OQ:$OR</definedName>
    <definedName name="м103" localSheetId="6">'[13]2+'!$OQ:$OR</definedName>
    <definedName name="м103" localSheetId="12">'[13]2+'!$OQ:$OR</definedName>
    <definedName name="м103">'[14]2+'!$OQ:$OR</definedName>
    <definedName name="м104" localSheetId="7">'[12]2+'!$OU:$OV</definedName>
    <definedName name="м104" localSheetId="15">'[12]2+'!$OU:$OV</definedName>
    <definedName name="м104" localSheetId="18">'[13]2+'!$OU:$OV</definedName>
    <definedName name="м104" localSheetId="17">'[12]2+'!$OU:$OV</definedName>
    <definedName name="м104" localSheetId="11">'[13]2+'!$OU:$OV</definedName>
    <definedName name="м104" localSheetId="10">'[13]2+'!$OU:$OV</definedName>
    <definedName name="м104" localSheetId="8">'[13]2+'!$OU:$OV</definedName>
    <definedName name="м104" localSheetId="5">'[13]2+'!$OU:$OV</definedName>
    <definedName name="м104" localSheetId="9">'[13]2+'!$OU:$OV</definedName>
    <definedName name="м104" localSheetId="6">'[13]2+'!$OU:$OV</definedName>
    <definedName name="м104" localSheetId="12">'[13]2+'!$OU:$OV</definedName>
    <definedName name="м104">'[14]2+'!$OU:$OV</definedName>
    <definedName name="м105" localSheetId="7">'[12]2+'!$OY:$OZ</definedName>
    <definedName name="м105" localSheetId="15">'[12]2+'!$OY:$OZ</definedName>
    <definedName name="м105" localSheetId="18">'[13]2+'!$OY:$OZ</definedName>
    <definedName name="м105" localSheetId="17">'[12]2+'!$OY:$OZ</definedName>
    <definedName name="м105" localSheetId="11">'[13]2+'!$OY:$OZ</definedName>
    <definedName name="м105" localSheetId="10">'[13]2+'!$OY:$OZ</definedName>
    <definedName name="м105" localSheetId="8">'[13]2+'!$OY:$OZ</definedName>
    <definedName name="м105" localSheetId="5">'[13]2+'!$OY:$OZ</definedName>
    <definedName name="м105" localSheetId="9">'[13]2+'!$OY:$OZ</definedName>
    <definedName name="м105" localSheetId="6">'[13]2+'!$OY:$OZ</definedName>
    <definedName name="м105" localSheetId="12">'[13]2+'!$OY:$OZ</definedName>
    <definedName name="м105">'[14]2+'!$OY:$OZ</definedName>
    <definedName name="м106" localSheetId="7">'[12]2+'!$PC:$PD</definedName>
    <definedName name="м106" localSheetId="15">'[12]2+'!$PC:$PD</definedName>
    <definedName name="м106" localSheetId="18">'[13]2+'!$PC:$PD</definedName>
    <definedName name="м106" localSheetId="17">'[12]2+'!$PC:$PD</definedName>
    <definedName name="м106" localSheetId="11">'[13]2+'!$PC:$PD</definedName>
    <definedName name="м106" localSheetId="10">'[13]2+'!$PC:$PD</definedName>
    <definedName name="м106" localSheetId="8">'[13]2+'!$PC:$PD</definedName>
    <definedName name="м106" localSheetId="5">'[13]2+'!$PC:$PD</definedName>
    <definedName name="м106" localSheetId="9">'[13]2+'!$PC:$PD</definedName>
    <definedName name="м106" localSheetId="6">'[13]2+'!$PC:$PD</definedName>
    <definedName name="м106" localSheetId="12">'[13]2+'!$PC:$PD</definedName>
    <definedName name="м106">'[14]2+'!$PC:$PD</definedName>
    <definedName name="м107" localSheetId="7">'[12]2+'!$PG:$PH</definedName>
    <definedName name="м107" localSheetId="15">'[12]2+'!$PG:$PH</definedName>
    <definedName name="м107" localSheetId="18">'[13]2+'!$PG:$PH</definedName>
    <definedName name="м107" localSheetId="17">'[12]2+'!$PG:$PH</definedName>
    <definedName name="м107" localSheetId="11">'[13]2+'!$PG:$PH</definedName>
    <definedName name="м107" localSheetId="10">'[13]2+'!$PG:$PH</definedName>
    <definedName name="м107" localSheetId="8">'[13]2+'!$PG:$PH</definedName>
    <definedName name="м107" localSheetId="5">'[13]2+'!$PG:$PH</definedName>
    <definedName name="м107" localSheetId="9">'[13]2+'!$PG:$PH</definedName>
    <definedName name="м107" localSheetId="6">'[13]2+'!$PG:$PH</definedName>
    <definedName name="м107" localSheetId="12">'[13]2+'!$PG:$PH</definedName>
    <definedName name="м107">'[14]2+'!$PG:$PH</definedName>
    <definedName name="м108" localSheetId="7">'[12]2+'!$PK:$PL</definedName>
    <definedName name="м108" localSheetId="15">'[12]2+'!$PK:$PL</definedName>
    <definedName name="м108" localSheetId="18">'[13]2+'!$PK:$PL</definedName>
    <definedName name="м108" localSheetId="17">'[12]2+'!$PK:$PL</definedName>
    <definedName name="м108" localSheetId="11">'[13]2+'!$PK:$PL</definedName>
    <definedName name="м108" localSheetId="10">'[13]2+'!$PK:$PL</definedName>
    <definedName name="м108" localSheetId="8">'[13]2+'!$PK:$PL</definedName>
    <definedName name="м108" localSheetId="5">'[13]2+'!$PK:$PL</definedName>
    <definedName name="м108" localSheetId="9">'[13]2+'!$PK:$PL</definedName>
    <definedName name="м108" localSheetId="6">'[13]2+'!$PK:$PL</definedName>
    <definedName name="м108" localSheetId="12">'[13]2+'!$PK:$PL</definedName>
    <definedName name="м108">'[14]2+'!$PK:$PL</definedName>
    <definedName name="м109" localSheetId="7">'[12]2+'!$PO:$PP</definedName>
    <definedName name="м109" localSheetId="15">'[12]2+'!$PO:$PP</definedName>
    <definedName name="м109" localSheetId="18">'[13]2+'!$PO:$PP</definedName>
    <definedName name="м109" localSheetId="17">'[12]2+'!$PO:$PP</definedName>
    <definedName name="м109" localSheetId="11">'[13]2+'!$PO:$PP</definedName>
    <definedName name="м109" localSheetId="10">'[13]2+'!$PO:$PP</definedName>
    <definedName name="м109" localSheetId="8">'[13]2+'!$PO:$PP</definedName>
    <definedName name="м109" localSheetId="5">'[13]2+'!$PO:$PP</definedName>
    <definedName name="м109" localSheetId="9">'[13]2+'!$PO:$PP</definedName>
    <definedName name="м109" localSheetId="6">'[13]2+'!$PO:$PP</definedName>
    <definedName name="м109" localSheetId="12">'[13]2+'!$PO:$PP</definedName>
    <definedName name="м109">'[14]2+'!$PO:$PP</definedName>
    <definedName name="м11" localSheetId="7">'[12]2+'!$AM:$AN</definedName>
    <definedName name="м11" localSheetId="15">'[12]2+'!$AM:$AN</definedName>
    <definedName name="м11" localSheetId="18">'[13]2+'!$AM:$AN</definedName>
    <definedName name="м11" localSheetId="17">'[12]2+'!$AM:$AN</definedName>
    <definedName name="м11" localSheetId="11">'[13]2+'!$AM:$AN</definedName>
    <definedName name="м11" localSheetId="10">'[13]2+'!$AM:$AN</definedName>
    <definedName name="м11" localSheetId="8">'[13]2+'!$AM:$AN</definedName>
    <definedName name="м11" localSheetId="5">'[13]2+'!$AM:$AN</definedName>
    <definedName name="м11" localSheetId="9">'[13]2+'!$AM:$AN</definedName>
    <definedName name="м11" localSheetId="6">'[13]2+'!$AM:$AN</definedName>
    <definedName name="м11" localSheetId="12">'[13]2+'!$AM:$AN</definedName>
    <definedName name="м11">'[14]2+'!$AM:$AN</definedName>
    <definedName name="м110" localSheetId="7">'[12]2+'!$PS:$PT</definedName>
    <definedName name="м110" localSheetId="15">'[12]2+'!$PS:$PT</definedName>
    <definedName name="м110" localSheetId="18">'[13]2+'!$PS:$PT</definedName>
    <definedName name="м110" localSheetId="17">'[12]2+'!$PS:$PT</definedName>
    <definedName name="м110" localSheetId="11">'[13]2+'!$PS:$PT</definedName>
    <definedName name="м110" localSheetId="10">'[13]2+'!$PS:$PT</definedName>
    <definedName name="м110" localSheetId="8">'[13]2+'!$PS:$PT</definedName>
    <definedName name="м110" localSheetId="5">'[13]2+'!$PS:$PT</definedName>
    <definedName name="м110" localSheetId="9">'[13]2+'!$PS:$PT</definedName>
    <definedName name="м110" localSheetId="6">'[13]2+'!$PS:$PT</definedName>
    <definedName name="м110" localSheetId="12">'[13]2+'!$PS:$PT</definedName>
    <definedName name="м110">'[14]2+'!$PS:$PT</definedName>
    <definedName name="м111" localSheetId="7">'[12]2+'!$PW:$PX</definedName>
    <definedName name="м111" localSheetId="15">'[12]2+'!$PW:$PX</definedName>
    <definedName name="м111" localSheetId="18">'[13]2+'!$PW:$PX</definedName>
    <definedName name="м111" localSheetId="17">'[12]2+'!$PW:$PX</definedName>
    <definedName name="м111" localSheetId="11">'[13]2+'!$PW:$PX</definedName>
    <definedName name="м111" localSheetId="10">'[13]2+'!$PW:$PX</definedName>
    <definedName name="м111" localSheetId="8">'[13]2+'!$PW:$PX</definedName>
    <definedName name="м111" localSheetId="5">'[13]2+'!$PW:$PX</definedName>
    <definedName name="м111" localSheetId="9">'[13]2+'!$PW:$PX</definedName>
    <definedName name="м111" localSheetId="6">'[13]2+'!$PW:$PX</definedName>
    <definedName name="м111" localSheetId="12">'[13]2+'!$PW:$PX</definedName>
    <definedName name="м111">'[14]2+'!$PW:$PX</definedName>
    <definedName name="м112" localSheetId="7">'[12]2+'!$QA:$QB</definedName>
    <definedName name="м112" localSheetId="15">'[12]2+'!$QA:$QB</definedName>
    <definedName name="м112" localSheetId="18">'[13]2+'!$QA:$QB</definedName>
    <definedName name="м112" localSheetId="17">'[12]2+'!$QA:$QB</definedName>
    <definedName name="м112" localSheetId="11">'[13]2+'!$QA:$QB</definedName>
    <definedName name="м112" localSheetId="10">'[13]2+'!$QA:$QB</definedName>
    <definedName name="м112" localSheetId="8">'[13]2+'!$QA:$QB</definedName>
    <definedName name="м112" localSheetId="5">'[13]2+'!$QA:$QB</definedName>
    <definedName name="м112" localSheetId="9">'[13]2+'!$QA:$QB</definedName>
    <definedName name="м112" localSheetId="6">'[13]2+'!$QA:$QB</definedName>
    <definedName name="м112" localSheetId="12">'[13]2+'!$QA:$QB</definedName>
    <definedName name="м112">'[14]2+'!$QA:$QB</definedName>
    <definedName name="м12" localSheetId="7">'[12]2+'!$AQ:$AR</definedName>
    <definedName name="м12" localSheetId="15">'[12]2+'!$AQ:$AR</definedName>
    <definedName name="м12" localSheetId="18">'[13]2+'!$AQ:$AR</definedName>
    <definedName name="м12" localSheetId="17">'[12]2+'!$AQ:$AR</definedName>
    <definedName name="м12" localSheetId="11">'[13]2+'!$AQ:$AR</definedName>
    <definedName name="м12" localSheetId="10">'[13]2+'!$AQ:$AR</definedName>
    <definedName name="м12" localSheetId="8">'[13]2+'!$AQ:$AR</definedName>
    <definedName name="м12" localSheetId="5">'[13]2+'!$AQ:$AR</definedName>
    <definedName name="м12" localSheetId="9">'[13]2+'!$AQ:$AR</definedName>
    <definedName name="м12" localSheetId="6">'[13]2+'!$AQ:$AR</definedName>
    <definedName name="м12" localSheetId="12">'[13]2+'!$AQ:$AR</definedName>
    <definedName name="м12">'[14]2+'!$AQ:$AR</definedName>
    <definedName name="м13" localSheetId="7">'[12]2+'!$AU:$AV</definedName>
    <definedName name="м13" localSheetId="15">'[12]2+'!$AU:$AV</definedName>
    <definedName name="м13" localSheetId="18">'[13]2+'!$AU:$AV</definedName>
    <definedName name="м13" localSheetId="17">'[12]2+'!$AU:$AV</definedName>
    <definedName name="м13" localSheetId="11">'[13]2+'!$AU:$AV</definedName>
    <definedName name="м13" localSheetId="10">'[13]2+'!$AU:$AV</definedName>
    <definedName name="м13" localSheetId="8">'[13]2+'!$AU:$AV</definedName>
    <definedName name="м13" localSheetId="5">'[13]2+'!$AU:$AV</definedName>
    <definedName name="м13" localSheetId="9">'[13]2+'!$AU:$AV</definedName>
    <definedName name="м13" localSheetId="6">'[13]2+'!$AU:$AV</definedName>
    <definedName name="м13" localSheetId="12">'[13]2+'!$AU:$AV</definedName>
    <definedName name="м13">'[14]2+'!$AU:$AV</definedName>
    <definedName name="м14" localSheetId="7">'[12]2+'!$AY:$AZ</definedName>
    <definedName name="м14" localSheetId="15">'[12]2+'!$AY:$AZ</definedName>
    <definedName name="м14" localSheetId="18">'[13]2+'!$AY:$AZ</definedName>
    <definedName name="м14" localSheetId="17">'[12]2+'!$AY:$AZ</definedName>
    <definedName name="м14" localSheetId="11">'[13]2+'!$AY:$AZ</definedName>
    <definedName name="м14" localSheetId="10">'[13]2+'!$AY:$AZ</definedName>
    <definedName name="м14" localSheetId="8">'[13]2+'!$AY:$AZ</definedName>
    <definedName name="м14" localSheetId="5">'[13]2+'!$AY:$AZ</definedName>
    <definedName name="м14" localSheetId="9">'[13]2+'!$AY:$AZ</definedName>
    <definedName name="м14" localSheetId="6">'[13]2+'!$AY:$AZ</definedName>
    <definedName name="м14" localSheetId="12">'[13]2+'!$AY:$AZ</definedName>
    <definedName name="м14">'[14]2+'!$AY:$AZ</definedName>
    <definedName name="м15" localSheetId="7">'[12]2+'!$BC:$BD</definedName>
    <definedName name="м15" localSheetId="15">'[12]2+'!$BC:$BD</definedName>
    <definedName name="м15" localSheetId="18">'[13]2+'!$BC:$BD</definedName>
    <definedName name="м15" localSheetId="17">'[12]2+'!$BC:$BD</definedName>
    <definedName name="м15" localSheetId="11">'[13]2+'!$BC:$BD</definedName>
    <definedName name="м15" localSheetId="10">'[13]2+'!$BC:$BD</definedName>
    <definedName name="м15" localSheetId="8">'[13]2+'!$BC:$BD</definedName>
    <definedName name="м15" localSheetId="5">'[13]2+'!$BC:$BD</definedName>
    <definedName name="м15" localSheetId="9">'[13]2+'!$BC:$BD</definedName>
    <definedName name="м15" localSheetId="6">'[13]2+'!$BC:$BD</definedName>
    <definedName name="м15" localSheetId="12">'[13]2+'!$BC:$BD</definedName>
    <definedName name="м15">'[14]2+'!$BC:$BD</definedName>
    <definedName name="м16" localSheetId="7">'[12]2+'!$BG:$BH</definedName>
    <definedName name="м16" localSheetId="15">'[12]2+'!$BG:$BH</definedName>
    <definedName name="м16" localSheetId="18">'[13]2+'!$BG:$BH</definedName>
    <definedName name="м16" localSheetId="17">'[12]2+'!$BG:$BH</definedName>
    <definedName name="м16" localSheetId="11">'[13]2+'!$BG:$BH</definedName>
    <definedName name="м16" localSheetId="10">'[13]2+'!$BG:$BH</definedName>
    <definedName name="м16" localSheetId="8">'[13]2+'!$BG:$BH</definedName>
    <definedName name="м16" localSheetId="5">'[13]2+'!$BG:$BH</definedName>
    <definedName name="м16" localSheetId="9">'[13]2+'!$BG:$BH</definedName>
    <definedName name="м16" localSheetId="6">'[13]2+'!$BG:$BH</definedName>
    <definedName name="м16" localSheetId="12">'[13]2+'!$BG:$BH</definedName>
    <definedName name="м16">'[14]2+'!$BG:$BH</definedName>
    <definedName name="м17" localSheetId="7">'[12]2+'!$BK:$BL</definedName>
    <definedName name="м17" localSheetId="15">'[12]2+'!$BK:$BL</definedName>
    <definedName name="м17" localSheetId="18">'[13]2+'!$BK:$BL</definedName>
    <definedName name="м17" localSheetId="17">'[12]2+'!$BK:$BL</definedName>
    <definedName name="м17" localSheetId="11">'[13]2+'!$BK:$BL</definedName>
    <definedName name="м17" localSheetId="10">'[13]2+'!$BK:$BL</definedName>
    <definedName name="м17" localSheetId="8">'[13]2+'!$BK:$BL</definedName>
    <definedName name="м17" localSheetId="5">'[13]2+'!$BK:$BL</definedName>
    <definedName name="м17" localSheetId="9">'[13]2+'!$BK:$BL</definedName>
    <definedName name="м17" localSheetId="6">'[13]2+'!$BK:$BL</definedName>
    <definedName name="м17" localSheetId="12">'[13]2+'!$BK:$BL</definedName>
    <definedName name="м17">'[14]2+'!$BK:$BL</definedName>
    <definedName name="м18" localSheetId="7">'[12]2+'!$BO:$BP</definedName>
    <definedName name="м18" localSheetId="15">'[12]2+'!$BO:$BP</definedName>
    <definedName name="м18" localSheetId="18">'[13]2+'!$BO:$BP</definedName>
    <definedName name="м18" localSheetId="17">'[12]2+'!$BO:$BP</definedName>
    <definedName name="м18" localSheetId="11">'[13]2+'!$BO:$BP</definedName>
    <definedName name="м18" localSheetId="10">'[13]2+'!$BO:$BP</definedName>
    <definedName name="м18" localSheetId="8">'[13]2+'!$BO:$BP</definedName>
    <definedName name="м18" localSheetId="5">'[13]2+'!$BO:$BP</definedName>
    <definedName name="м18" localSheetId="9">'[13]2+'!$BO:$BP</definedName>
    <definedName name="м18" localSheetId="6">'[13]2+'!$BO:$BP</definedName>
    <definedName name="м18" localSheetId="12">'[13]2+'!$BO:$BP</definedName>
    <definedName name="м18">'[14]2+'!$BO:$BP</definedName>
    <definedName name="м19" localSheetId="7">'[12]2+'!$BS:$BT</definedName>
    <definedName name="м19" localSheetId="15">'[12]2+'!$BS:$BT</definedName>
    <definedName name="м19" localSheetId="18">'[13]2+'!$BS:$BT</definedName>
    <definedName name="м19" localSheetId="17">'[12]2+'!$BS:$BT</definedName>
    <definedName name="м19" localSheetId="11">'[13]2+'!$BS:$BT</definedName>
    <definedName name="м19" localSheetId="10">'[13]2+'!$BS:$BT</definedName>
    <definedName name="м19" localSheetId="8">'[13]2+'!$BS:$BT</definedName>
    <definedName name="м19" localSheetId="5">'[13]2+'!$BS:$BT</definedName>
    <definedName name="м19" localSheetId="9">'[13]2+'!$BS:$BT</definedName>
    <definedName name="м19" localSheetId="6">'[13]2+'!$BS:$BT</definedName>
    <definedName name="м19" localSheetId="12">'[13]2+'!$BS:$BT</definedName>
    <definedName name="м19">'[14]2+'!$BS:$BT</definedName>
    <definedName name="м2" localSheetId="7">'[12]2+'!$C:$D</definedName>
    <definedName name="м2" localSheetId="15">'[12]2+'!$C:$D</definedName>
    <definedName name="м2" localSheetId="18">'[13]2+'!$C:$D</definedName>
    <definedName name="м2" localSheetId="17">'[12]2+'!$C:$D</definedName>
    <definedName name="м2" localSheetId="11">'[13]2+'!$C:$D</definedName>
    <definedName name="м2" localSheetId="10">'[13]2+'!$C:$D</definedName>
    <definedName name="м2" localSheetId="8">'[13]2+'!$C:$D</definedName>
    <definedName name="м2" localSheetId="5">'[13]2+'!$C:$D</definedName>
    <definedName name="м2" localSheetId="9">'[13]2+'!$C:$D</definedName>
    <definedName name="м2" localSheetId="6">'[13]2+'!$C:$D</definedName>
    <definedName name="м2" localSheetId="12">'[13]2+'!$C:$D</definedName>
    <definedName name="м2">'[14]2+'!$C:$D</definedName>
    <definedName name="м20" localSheetId="7">'[12]2+'!$BW:$BX</definedName>
    <definedName name="м20" localSheetId="15">'[12]2+'!$BW:$BX</definedName>
    <definedName name="м20" localSheetId="18">'[13]2+'!$BW:$BX</definedName>
    <definedName name="м20" localSheetId="17">'[12]2+'!$BW:$BX</definedName>
    <definedName name="м20" localSheetId="11">'[13]2+'!$BW:$BX</definedName>
    <definedName name="м20" localSheetId="10">'[13]2+'!$BW:$BX</definedName>
    <definedName name="м20" localSheetId="8">'[13]2+'!$BW:$BX</definedName>
    <definedName name="м20" localSheetId="5">'[13]2+'!$BW:$BX</definedName>
    <definedName name="м20" localSheetId="9">'[13]2+'!$BW:$BX</definedName>
    <definedName name="м20" localSheetId="6">'[13]2+'!$BW:$BX</definedName>
    <definedName name="м20" localSheetId="12">'[13]2+'!$BW:$BX</definedName>
    <definedName name="м20">'[14]2+'!$BW:$BX</definedName>
    <definedName name="м21" localSheetId="7">'[12]2+'!$CA:$CB</definedName>
    <definedName name="м21" localSheetId="15">'[12]2+'!$CA:$CB</definedName>
    <definedName name="м21" localSheetId="18">'[13]2+'!$CA:$CB</definedName>
    <definedName name="м21" localSheetId="17">'[12]2+'!$CA:$CB</definedName>
    <definedName name="м21" localSheetId="11">'[13]2+'!$CA:$CB</definedName>
    <definedName name="м21" localSheetId="10">'[13]2+'!$CA:$CB</definedName>
    <definedName name="м21" localSheetId="8">'[13]2+'!$CA:$CB</definedName>
    <definedName name="м21" localSheetId="5">'[13]2+'!$CA:$CB</definedName>
    <definedName name="м21" localSheetId="9">'[13]2+'!$CA:$CB</definedName>
    <definedName name="м21" localSheetId="6">'[13]2+'!$CA:$CB</definedName>
    <definedName name="м21" localSheetId="12">'[13]2+'!$CA:$CB</definedName>
    <definedName name="м21">'[14]2+'!$CA:$CB</definedName>
    <definedName name="м22" localSheetId="7">'[12]2+'!$CE:$CF</definedName>
    <definedName name="м22" localSheetId="15">'[12]2+'!$CE:$CF</definedName>
    <definedName name="м22" localSheetId="18">'[13]2+'!$CE:$CF</definedName>
    <definedName name="м22" localSheetId="17">'[12]2+'!$CE:$CF</definedName>
    <definedName name="м22" localSheetId="11">'[13]2+'!$CE:$CF</definedName>
    <definedName name="м22" localSheetId="10">'[13]2+'!$CE:$CF</definedName>
    <definedName name="м22" localSheetId="8">'[13]2+'!$CE:$CF</definedName>
    <definedName name="м22" localSheetId="5">'[13]2+'!$CE:$CF</definedName>
    <definedName name="м22" localSheetId="9">'[13]2+'!$CE:$CF</definedName>
    <definedName name="м22" localSheetId="6">'[13]2+'!$CE:$CF</definedName>
    <definedName name="м22" localSheetId="12">'[13]2+'!$CE:$CF</definedName>
    <definedName name="м22">'[14]2+'!$CE:$CF</definedName>
    <definedName name="м23" localSheetId="7">'[12]2+'!$CI:$CJ</definedName>
    <definedName name="м23" localSheetId="15">'[12]2+'!$CI:$CJ</definedName>
    <definedName name="м23" localSheetId="18">'[13]2+'!$CI:$CJ</definedName>
    <definedName name="м23" localSheetId="17">'[12]2+'!$CI:$CJ</definedName>
    <definedName name="м23" localSheetId="11">'[13]2+'!$CI:$CJ</definedName>
    <definedName name="м23" localSheetId="10">'[13]2+'!$CI:$CJ</definedName>
    <definedName name="м23" localSheetId="8">'[13]2+'!$CI:$CJ</definedName>
    <definedName name="м23" localSheetId="5">'[13]2+'!$CI:$CJ</definedName>
    <definedName name="м23" localSheetId="9">'[13]2+'!$CI:$CJ</definedName>
    <definedName name="м23" localSheetId="6">'[13]2+'!$CI:$CJ</definedName>
    <definedName name="м23" localSheetId="12">'[13]2+'!$CI:$CJ</definedName>
    <definedName name="м23">'[14]2+'!$CI:$CJ</definedName>
    <definedName name="м24" localSheetId="7">'[12]2+'!$CM:$CN</definedName>
    <definedName name="м24" localSheetId="15">'[12]2+'!$CM:$CN</definedName>
    <definedName name="м24" localSheetId="18">'[13]2+'!$CM:$CN</definedName>
    <definedName name="м24" localSheetId="17">'[12]2+'!$CM:$CN</definedName>
    <definedName name="м24" localSheetId="11">'[13]2+'!$CM:$CN</definedName>
    <definedName name="м24" localSheetId="10">'[13]2+'!$CM:$CN</definedName>
    <definedName name="м24" localSheetId="8">'[13]2+'!$CM:$CN</definedName>
    <definedName name="м24" localSheetId="5">'[13]2+'!$CM:$CN</definedName>
    <definedName name="м24" localSheetId="9">'[13]2+'!$CM:$CN</definedName>
    <definedName name="м24" localSheetId="6">'[13]2+'!$CM:$CN</definedName>
    <definedName name="м24" localSheetId="12">'[13]2+'!$CM:$CN</definedName>
    <definedName name="м24">'[14]2+'!$CM:$CN</definedName>
    <definedName name="м25" localSheetId="7">'[12]2+'!$CQ:$CR</definedName>
    <definedName name="м25" localSheetId="15">'[12]2+'!$CQ:$CR</definedName>
    <definedName name="м25" localSheetId="18">'[13]2+'!$CQ:$CR</definedName>
    <definedName name="м25" localSheetId="17">'[12]2+'!$CQ:$CR</definedName>
    <definedName name="м25" localSheetId="11">'[13]2+'!$CQ:$CR</definedName>
    <definedName name="м25" localSheetId="10">'[13]2+'!$CQ:$CR</definedName>
    <definedName name="м25" localSheetId="8">'[13]2+'!$CQ:$CR</definedName>
    <definedName name="м25" localSheetId="5">'[13]2+'!$CQ:$CR</definedName>
    <definedName name="м25" localSheetId="9">'[13]2+'!$CQ:$CR</definedName>
    <definedName name="м25" localSheetId="6">'[13]2+'!$CQ:$CR</definedName>
    <definedName name="м25" localSheetId="12">'[13]2+'!$CQ:$CR</definedName>
    <definedName name="м25">'[14]2+'!$CQ:$CR</definedName>
    <definedName name="м26" localSheetId="7">'[12]2+'!$CU:$CV</definedName>
    <definedName name="м26" localSheetId="15">'[12]2+'!$CU:$CV</definedName>
    <definedName name="м26" localSheetId="18">'[13]2+'!$CU:$CV</definedName>
    <definedName name="м26" localSheetId="17">'[12]2+'!$CU:$CV</definedName>
    <definedName name="м26" localSheetId="11">'[13]2+'!$CU:$CV</definedName>
    <definedName name="м26" localSheetId="10">'[13]2+'!$CU:$CV</definedName>
    <definedName name="м26" localSheetId="8">'[13]2+'!$CU:$CV</definedName>
    <definedName name="м26" localSheetId="5">'[13]2+'!$CU:$CV</definedName>
    <definedName name="м26" localSheetId="9">'[13]2+'!$CU:$CV</definedName>
    <definedName name="м26" localSheetId="6">'[13]2+'!$CU:$CV</definedName>
    <definedName name="м26" localSheetId="12">'[13]2+'!$CU:$CV</definedName>
    <definedName name="м26">'[14]2+'!$CU:$CV</definedName>
    <definedName name="м27" localSheetId="7">'[12]2+'!$CY:$CZ</definedName>
    <definedName name="м27" localSheetId="15">'[12]2+'!$CY:$CZ</definedName>
    <definedName name="м27" localSheetId="18">'[13]2+'!$CY:$CZ</definedName>
    <definedName name="м27" localSheetId="17">'[12]2+'!$CY:$CZ</definedName>
    <definedName name="м27" localSheetId="11">'[13]2+'!$CY:$CZ</definedName>
    <definedName name="м27" localSheetId="10">'[13]2+'!$CY:$CZ</definedName>
    <definedName name="м27" localSheetId="8">'[13]2+'!$CY:$CZ</definedName>
    <definedName name="м27" localSheetId="5">'[13]2+'!$CY:$CZ</definedName>
    <definedName name="м27" localSheetId="9">'[13]2+'!$CY:$CZ</definedName>
    <definedName name="м27" localSheetId="6">'[13]2+'!$CY:$CZ</definedName>
    <definedName name="м27" localSheetId="12">'[13]2+'!$CY:$CZ</definedName>
    <definedName name="м27">'[14]2+'!$CY:$CZ</definedName>
    <definedName name="м28" localSheetId="7">'[12]2+'!$DC:$DD</definedName>
    <definedName name="м28" localSheetId="15">'[12]2+'!$DC:$DD</definedName>
    <definedName name="м28" localSheetId="18">'[13]2+'!$DC:$DD</definedName>
    <definedName name="м28" localSheetId="17">'[12]2+'!$DC:$DD</definedName>
    <definedName name="м28" localSheetId="11">'[13]2+'!$DC:$DD</definedName>
    <definedName name="м28" localSheetId="10">'[13]2+'!$DC:$DD</definedName>
    <definedName name="м28" localSheetId="8">'[13]2+'!$DC:$DD</definedName>
    <definedName name="м28" localSheetId="5">'[13]2+'!$DC:$DD</definedName>
    <definedName name="м28" localSheetId="9">'[13]2+'!$DC:$DD</definedName>
    <definedName name="м28" localSheetId="6">'[13]2+'!$DC:$DD</definedName>
    <definedName name="м28" localSheetId="12">'[13]2+'!$DC:$DD</definedName>
    <definedName name="м28">'[14]2+'!$DC:$DD</definedName>
    <definedName name="м29" localSheetId="7">'[12]2+'!$DG:$DH</definedName>
    <definedName name="м29" localSheetId="15">'[12]2+'!$DG:$DH</definedName>
    <definedName name="м29" localSheetId="18">'[13]2+'!$DG:$DH</definedName>
    <definedName name="м29" localSheetId="17">'[12]2+'!$DG:$DH</definedName>
    <definedName name="м29" localSheetId="11">'[13]2+'!$DG:$DH</definedName>
    <definedName name="м29" localSheetId="10">'[13]2+'!$DG:$DH</definedName>
    <definedName name="м29" localSheetId="8">'[13]2+'!$DG:$DH</definedName>
    <definedName name="м29" localSheetId="5">'[13]2+'!$DG:$DH</definedName>
    <definedName name="м29" localSheetId="9">'[13]2+'!$DG:$DH</definedName>
    <definedName name="м29" localSheetId="6">'[13]2+'!$DG:$DH</definedName>
    <definedName name="м29" localSheetId="12">'[13]2+'!$DG:$DH</definedName>
    <definedName name="м29">'[14]2+'!$DG:$DH</definedName>
    <definedName name="м3" localSheetId="7">'[12]2+'!$G:$H</definedName>
    <definedName name="м3" localSheetId="15">'[12]2+'!$G:$H</definedName>
    <definedName name="м3" localSheetId="18">'[13]2+'!$G:$H</definedName>
    <definedName name="м3" localSheetId="17">'[12]2+'!$G:$H</definedName>
    <definedName name="м3" localSheetId="11">'[13]2+'!$G:$H</definedName>
    <definedName name="м3" localSheetId="10">'[13]2+'!$G:$H</definedName>
    <definedName name="м3" localSheetId="8">'[13]2+'!$G:$H</definedName>
    <definedName name="м3" localSheetId="5">'[13]2+'!$G:$H</definedName>
    <definedName name="м3" localSheetId="9">'[13]2+'!$G:$H</definedName>
    <definedName name="м3" localSheetId="6">'[13]2+'!$G:$H</definedName>
    <definedName name="м3" localSheetId="12">'[13]2+'!$G:$H</definedName>
    <definedName name="м3">'[14]2+'!$G:$H</definedName>
    <definedName name="м30" localSheetId="7">'[12]2+'!$DK:$DL</definedName>
    <definedName name="м30" localSheetId="15">'[12]2+'!$DK:$DL</definedName>
    <definedName name="м30" localSheetId="18">'[13]2+'!$DK:$DL</definedName>
    <definedName name="м30" localSheetId="17">'[12]2+'!$DK:$DL</definedName>
    <definedName name="м30" localSheetId="11">'[13]2+'!$DK:$DL</definedName>
    <definedName name="м30" localSheetId="10">'[13]2+'!$DK:$DL</definedName>
    <definedName name="м30" localSheetId="8">'[13]2+'!$DK:$DL</definedName>
    <definedName name="м30" localSheetId="5">'[13]2+'!$DK:$DL</definedName>
    <definedName name="м30" localSheetId="9">'[13]2+'!$DK:$DL</definedName>
    <definedName name="м30" localSheetId="6">'[13]2+'!$DK:$DL</definedName>
    <definedName name="м30" localSheetId="12">'[13]2+'!$DK:$DL</definedName>
    <definedName name="м30">'[14]2+'!$DK:$DL</definedName>
    <definedName name="м31" localSheetId="7">'[12]2+'!$DO:$DP</definedName>
    <definedName name="м31" localSheetId="15">'[12]2+'!$DO:$DP</definedName>
    <definedName name="м31" localSheetId="18">'[13]2+'!$DO:$DP</definedName>
    <definedName name="м31" localSheetId="17">'[12]2+'!$DO:$DP</definedName>
    <definedName name="м31" localSheetId="11">'[13]2+'!$DO:$DP</definedName>
    <definedName name="м31" localSheetId="10">'[13]2+'!$DO:$DP</definedName>
    <definedName name="м31" localSheetId="8">'[13]2+'!$DO:$DP</definedName>
    <definedName name="м31" localSheetId="5">'[13]2+'!$DO:$DP</definedName>
    <definedName name="м31" localSheetId="9">'[13]2+'!$DO:$DP</definedName>
    <definedName name="м31" localSheetId="6">'[13]2+'!$DO:$DP</definedName>
    <definedName name="м31" localSheetId="12">'[13]2+'!$DO:$DP</definedName>
    <definedName name="м31">'[14]2+'!$DO:$DP</definedName>
    <definedName name="м32" localSheetId="7">'[12]2+'!$DS:$DT</definedName>
    <definedName name="м32" localSheetId="15">'[12]2+'!$DS:$DT</definedName>
    <definedName name="м32" localSheetId="18">'[13]2+'!$DS:$DT</definedName>
    <definedName name="м32" localSheetId="17">'[12]2+'!$DS:$DT</definedName>
    <definedName name="м32" localSheetId="11">'[13]2+'!$DS:$DT</definedName>
    <definedName name="м32" localSheetId="10">'[13]2+'!$DS:$DT</definedName>
    <definedName name="м32" localSheetId="8">'[13]2+'!$DS:$DT</definedName>
    <definedName name="м32" localSheetId="5">'[13]2+'!$DS:$DT</definedName>
    <definedName name="м32" localSheetId="9">'[13]2+'!$DS:$DT</definedName>
    <definedName name="м32" localSheetId="6">'[13]2+'!$DS:$DT</definedName>
    <definedName name="м32" localSheetId="12">'[13]2+'!$DS:$DT</definedName>
    <definedName name="м32">'[14]2+'!$DS:$DT</definedName>
    <definedName name="м33" localSheetId="7">'[12]2+'!$DW:$DX</definedName>
    <definedName name="м33" localSheetId="15">'[12]2+'!$DW:$DX</definedName>
    <definedName name="м33" localSheetId="18">'[13]2+'!$DW:$DX</definedName>
    <definedName name="м33" localSheetId="17">'[12]2+'!$DW:$DX</definedName>
    <definedName name="м33" localSheetId="11">'[13]2+'!$DW:$DX</definedName>
    <definedName name="м33" localSheetId="10">'[13]2+'!$DW:$DX</definedName>
    <definedName name="м33" localSheetId="8">'[13]2+'!$DW:$DX</definedName>
    <definedName name="м33" localSheetId="5">'[13]2+'!$DW:$DX</definedName>
    <definedName name="м33" localSheetId="9">'[13]2+'!$DW:$DX</definedName>
    <definedName name="м33" localSheetId="6">'[13]2+'!$DW:$DX</definedName>
    <definedName name="м33" localSheetId="12">'[13]2+'!$DW:$DX</definedName>
    <definedName name="м33">'[14]2+'!$DW:$DX</definedName>
    <definedName name="м34" localSheetId="7">'[12]2+'!$EA:$EB</definedName>
    <definedName name="м34" localSheetId="15">'[12]2+'!$EA:$EB</definedName>
    <definedName name="м34" localSheetId="18">'[13]2+'!$EA:$EB</definedName>
    <definedName name="м34" localSheetId="17">'[12]2+'!$EA:$EB</definedName>
    <definedName name="м34" localSheetId="11">'[13]2+'!$EA:$EB</definedName>
    <definedName name="м34" localSheetId="10">'[13]2+'!$EA:$EB</definedName>
    <definedName name="м34" localSheetId="8">'[13]2+'!$EA:$EB</definedName>
    <definedName name="м34" localSheetId="5">'[13]2+'!$EA:$EB</definedName>
    <definedName name="м34" localSheetId="9">'[13]2+'!$EA:$EB</definedName>
    <definedName name="м34" localSheetId="6">'[13]2+'!$EA:$EB</definedName>
    <definedName name="м34" localSheetId="12">'[13]2+'!$EA:$EB</definedName>
    <definedName name="м34">'[14]2+'!$EA:$EB</definedName>
    <definedName name="м35" localSheetId="7">'[12]2+'!$EE:$EF</definedName>
    <definedName name="м35" localSheetId="15">'[12]2+'!$EE:$EF</definedName>
    <definedName name="м35" localSheetId="18">'[13]2+'!$EE:$EF</definedName>
    <definedName name="м35" localSheetId="17">'[12]2+'!$EE:$EF</definedName>
    <definedName name="м35" localSheetId="11">'[13]2+'!$EE:$EF</definedName>
    <definedName name="м35" localSheetId="10">'[13]2+'!$EE:$EF</definedName>
    <definedName name="м35" localSheetId="8">'[13]2+'!$EE:$EF</definedName>
    <definedName name="м35" localSheetId="5">'[13]2+'!$EE:$EF</definedName>
    <definedName name="м35" localSheetId="9">'[13]2+'!$EE:$EF</definedName>
    <definedName name="м35" localSheetId="6">'[13]2+'!$EE:$EF</definedName>
    <definedName name="м35" localSheetId="12">'[13]2+'!$EE:$EF</definedName>
    <definedName name="м35">'[14]2+'!$EE:$EF</definedName>
    <definedName name="м36" localSheetId="7">'[12]2+'!$EI:$EJ</definedName>
    <definedName name="м36" localSheetId="15">'[12]2+'!$EI:$EJ</definedName>
    <definedName name="м36" localSheetId="18">'[13]2+'!$EI:$EJ</definedName>
    <definedName name="м36" localSheetId="17">'[12]2+'!$EI:$EJ</definedName>
    <definedName name="м36" localSheetId="11">'[13]2+'!$EI:$EJ</definedName>
    <definedName name="м36" localSheetId="10">'[13]2+'!$EI:$EJ</definedName>
    <definedName name="м36" localSheetId="8">'[13]2+'!$EI:$EJ</definedName>
    <definedName name="м36" localSheetId="5">'[13]2+'!$EI:$EJ</definedName>
    <definedName name="м36" localSheetId="9">'[13]2+'!$EI:$EJ</definedName>
    <definedName name="м36" localSheetId="6">'[13]2+'!$EI:$EJ</definedName>
    <definedName name="м36" localSheetId="12">'[13]2+'!$EI:$EJ</definedName>
    <definedName name="м36">'[14]2+'!$EI:$EJ</definedName>
    <definedName name="м37" localSheetId="7">'[12]2+'!$EM:$EN</definedName>
    <definedName name="м37" localSheetId="15">'[12]2+'!$EM:$EN</definedName>
    <definedName name="м37" localSheetId="18">'[13]2+'!$EM:$EN</definedName>
    <definedName name="м37" localSheetId="17">'[12]2+'!$EM:$EN</definedName>
    <definedName name="м37" localSheetId="11">'[13]2+'!$EM:$EN</definedName>
    <definedName name="м37" localSheetId="10">'[13]2+'!$EM:$EN</definedName>
    <definedName name="м37" localSheetId="8">'[13]2+'!$EM:$EN</definedName>
    <definedName name="м37" localSheetId="5">'[13]2+'!$EM:$EN</definedName>
    <definedName name="м37" localSheetId="9">'[13]2+'!$EM:$EN</definedName>
    <definedName name="м37" localSheetId="6">'[13]2+'!$EM:$EN</definedName>
    <definedName name="м37" localSheetId="12">'[13]2+'!$EM:$EN</definedName>
    <definedName name="м37">'[14]2+'!$EM:$EN</definedName>
    <definedName name="м38" localSheetId="7">'[12]2+'!$EQ:$ER</definedName>
    <definedName name="м38" localSheetId="15">'[12]2+'!$EQ:$ER</definedName>
    <definedName name="м38" localSheetId="18">'[13]2+'!$EQ:$ER</definedName>
    <definedName name="м38" localSheetId="17">'[12]2+'!$EQ:$ER</definedName>
    <definedName name="м38" localSheetId="11">'[13]2+'!$EQ:$ER</definedName>
    <definedName name="м38" localSheetId="10">'[13]2+'!$EQ:$ER</definedName>
    <definedName name="м38" localSheetId="8">'[13]2+'!$EQ:$ER</definedName>
    <definedName name="м38" localSheetId="5">'[13]2+'!$EQ:$ER</definedName>
    <definedName name="м38" localSheetId="9">'[13]2+'!$EQ:$ER</definedName>
    <definedName name="м38" localSheetId="6">'[13]2+'!$EQ:$ER</definedName>
    <definedName name="м38" localSheetId="12">'[13]2+'!$EQ:$ER</definedName>
    <definedName name="м38">'[14]2+'!$EQ:$ER</definedName>
    <definedName name="м39" localSheetId="7">'[12]2+'!$EU:$EV</definedName>
    <definedName name="м39" localSheetId="15">'[12]2+'!$EU:$EV</definedName>
    <definedName name="м39" localSheetId="18">'[13]2+'!$EU:$EV</definedName>
    <definedName name="м39" localSheetId="17">'[12]2+'!$EU:$EV</definedName>
    <definedName name="м39" localSheetId="11">'[13]2+'!$EU:$EV</definedName>
    <definedName name="м39" localSheetId="10">'[13]2+'!$EU:$EV</definedName>
    <definedName name="м39" localSheetId="8">'[13]2+'!$EU:$EV</definedName>
    <definedName name="м39" localSheetId="5">'[13]2+'!$EU:$EV</definedName>
    <definedName name="м39" localSheetId="9">'[13]2+'!$EU:$EV</definedName>
    <definedName name="м39" localSheetId="6">'[13]2+'!$EU:$EV</definedName>
    <definedName name="м39" localSheetId="12">'[13]2+'!$EU:$EV</definedName>
    <definedName name="м39">'[14]2+'!$EU:$EV</definedName>
    <definedName name="м4" localSheetId="7">'[12]2+'!$K:$L</definedName>
    <definedName name="м4" localSheetId="15">'[12]2+'!$K:$L</definedName>
    <definedName name="м4" localSheetId="18">'[13]2+'!$K:$L</definedName>
    <definedName name="м4" localSheetId="17">'[12]2+'!$K:$L</definedName>
    <definedName name="м4" localSheetId="11">'[13]2+'!$K:$L</definedName>
    <definedName name="м4" localSheetId="10">'[13]2+'!$K:$L</definedName>
    <definedName name="м4" localSheetId="8">'[13]2+'!$K:$L</definedName>
    <definedName name="м4" localSheetId="5">'[13]2+'!$K:$L</definedName>
    <definedName name="м4" localSheetId="9">'[13]2+'!$K:$L</definedName>
    <definedName name="м4" localSheetId="6">'[13]2+'!$K:$L</definedName>
    <definedName name="м4" localSheetId="12">'[13]2+'!$K:$L</definedName>
    <definedName name="м4">'[14]2+'!$K:$L</definedName>
    <definedName name="м40" localSheetId="7">'[12]2+'!$EY:$EZ</definedName>
    <definedName name="м40" localSheetId="15">'[12]2+'!$EY:$EZ</definedName>
    <definedName name="м40" localSheetId="18">'[13]2+'!$EY:$EZ</definedName>
    <definedName name="м40" localSheetId="17">'[12]2+'!$EY:$EZ</definedName>
    <definedName name="м40" localSheetId="11">'[13]2+'!$EY:$EZ</definedName>
    <definedName name="м40" localSheetId="10">'[13]2+'!$EY:$EZ</definedName>
    <definedName name="м40" localSheetId="8">'[13]2+'!$EY:$EZ</definedName>
    <definedName name="м40" localSheetId="5">'[13]2+'!$EY:$EZ</definedName>
    <definedName name="м40" localSheetId="9">'[13]2+'!$EY:$EZ</definedName>
    <definedName name="м40" localSheetId="6">'[13]2+'!$EY:$EZ</definedName>
    <definedName name="м40" localSheetId="12">'[13]2+'!$EY:$EZ</definedName>
    <definedName name="м40">'[14]2+'!$EY:$EZ</definedName>
    <definedName name="м41" localSheetId="7">'[12]2+'!$FC:$FD</definedName>
    <definedName name="м41" localSheetId="15">'[12]2+'!$FC:$FD</definedName>
    <definedName name="м41" localSheetId="18">'[13]2+'!$FC:$FD</definedName>
    <definedName name="м41" localSheetId="17">'[12]2+'!$FC:$FD</definedName>
    <definedName name="м41" localSheetId="11">'[13]2+'!$FC:$FD</definedName>
    <definedName name="м41" localSheetId="10">'[13]2+'!$FC:$FD</definedName>
    <definedName name="м41" localSheetId="8">'[13]2+'!$FC:$FD</definedName>
    <definedName name="м41" localSheetId="5">'[13]2+'!$FC:$FD</definedName>
    <definedName name="м41" localSheetId="9">'[13]2+'!$FC:$FD</definedName>
    <definedName name="м41" localSheetId="6">'[13]2+'!$FC:$FD</definedName>
    <definedName name="м41" localSheetId="12">'[13]2+'!$FC:$FD</definedName>
    <definedName name="м41">'[14]2+'!$FC:$FD</definedName>
    <definedName name="м42" localSheetId="7">'[12]2+'!$FG:$FH</definedName>
    <definedName name="м42" localSheetId="15">'[12]2+'!$FG:$FH</definedName>
    <definedName name="м42" localSheetId="18">'[13]2+'!$FG:$FH</definedName>
    <definedName name="м42" localSheetId="17">'[12]2+'!$FG:$FH</definedName>
    <definedName name="м42" localSheetId="11">'[13]2+'!$FG:$FH</definedName>
    <definedName name="м42" localSheetId="10">'[13]2+'!$FG:$FH</definedName>
    <definedName name="м42" localSheetId="8">'[13]2+'!$FG:$FH</definedName>
    <definedName name="м42" localSheetId="5">'[13]2+'!$FG:$FH</definedName>
    <definedName name="м42" localSheetId="9">'[13]2+'!$FG:$FH</definedName>
    <definedName name="м42" localSheetId="6">'[13]2+'!$FG:$FH</definedName>
    <definedName name="м42" localSheetId="12">'[13]2+'!$FG:$FH</definedName>
    <definedName name="м42">'[14]2+'!$FG:$FH</definedName>
    <definedName name="м43" localSheetId="7">'[12]2+'!$FK:$FL</definedName>
    <definedName name="м43" localSheetId="15">'[12]2+'!$FK:$FL</definedName>
    <definedName name="м43" localSheetId="18">'[13]2+'!$FK:$FL</definedName>
    <definedName name="м43" localSheetId="17">'[12]2+'!$FK:$FL</definedName>
    <definedName name="м43" localSheetId="11">'[13]2+'!$FK:$FL</definedName>
    <definedName name="м43" localSheetId="10">'[13]2+'!$FK:$FL</definedName>
    <definedName name="м43" localSheetId="8">'[13]2+'!$FK:$FL</definedName>
    <definedName name="м43" localSheetId="5">'[13]2+'!$FK:$FL</definedName>
    <definedName name="м43" localSheetId="9">'[13]2+'!$FK:$FL</definedName>
    <definedName name="м43" localSheetId="6">'[13]2+'!$FK:$FL</definedName>
    <definedName name="м43" localSheetId="12">'[13]2+'!$FK:$FL</definedName>
    <definedName name="м43">'[14]2+'!$FK:$FL</definedName>
    <definedName name="м44" localSheetId="7">'[12]2+'!$FO:$FP</definedName>
    <definedName name="м44" localSheetId="15">'[12]2+'!$FO:$FP</definedName>
    <definedName name="м44" localSheetId="18">'[13]2+'!$FO:$FP</definedName>
    <definedName name="м44" localSheetId="17">'[12]2+'!$FO:$FP</definedName>
    <definedName name="м44" localSheetId="11">'[13]2+'!$FO:$FP</definedName>
    <definedName name="м44" localSheetId="10">'[13]2+'!$FO:$FP</definedName>
    <definedName name="м44" localSheetId="8">'[13]2+'!$FO:$FP</definedName>
    <definedName name="м44" localSheetId="5">'[13]2+'!$FO:$FP</definedName>
    <definedName name="м44" localSheetId="9">'[13]2+'!$FO:$FP</definedName>
    <definedName name="м44" localSheetId="6">'[13]2+'!$FO:$FP</definedName>
    <definedName name="м44" localSheetId="12">'[13]2+'!$FO:$FP</definedName>
    <definedName name="м44">'[14]2+'!$FO:$FP</definedName>
    <definedName name="м45" localSheetId="7">'[12]2+'!$FS:$FT</definedName>
    <definedName name="м45" localSheetId="15">'[12]2+'!$FS:$FT</definedName>
    <definedName name="м45" localSheetId="18">'[13]2+'!$FS:$FT</definedName>
    <definedName name="м45" localSheetId="17">'[12]2+'!$FS:$FT</definedName>
    <definedName name="м45" localSheetId="11">'[13]2+'!$FS:$FT</definedName>
    <definedName name="м45" localSheetId="10">'[13]2+'!$FS:$FT</definedName>
    <definedName name="м45" localSheetId="8">'[13]2+'!$FS:$FT</definedName>
    <definedName name="м45" localSheetId="5">'[13]2+'!$FS:$FT</definedName>
    <definedName name="м45" localSheetId="9">'[13]2+'!$FS:$FT</definedName>
    <definedName name="м45" localSheetId="6">'[13]2+'!$FS:$FT</definedName>
    <definedName name="м45" localSheetId="12">'[13]2+'!$FS:$FT</definedName>
    <definedName name="м45">'[14]2+'!$FS:$FT</definedName>
    <definedName name="м46" localSheetId="7">'[12]2+'!$FW:$FX</definedName>
    <definedName name="м46" localSheetId="15">'[12]2+'!$FW:$FX</definedName>
    <definedName name="м46" localSheetId="18">'[13]2+'!$FW:$FX</definedName>
    <definedName name="м46" localSheetId="17">'[12]2+'!$FW:$FX</definedName>
    <definedName name="м46" localSheetId="11">'[13]2+'!$FW:$FX</definedName>
    <definedName name="м46" localSheetId="10">'[13]2+'!$FW:$FX</definedName>
    <definedName name="м46" localSheetId="8">'[13]2+'!$FW:$FX</definedName>
    <definedName name="м46" localSheetId="5">'[13]2+'!$FW:$FX</definedName>
    <definedName name="м46" localSheetId="9">'[13]2+'!$FW:$FX</definedName>
    <definedName name="м46" localSheetId="6">'[13]2+'!$FW:$FX</definedName>
    <definedName name="м46" localSheetId="12">'[13]2+'!$FW:$FX</definedName>
    <definedName name="м46">'[14]2+'!$FW:$FX</definedName>
    <definedName name="м47" localSheetId="7">'[12]2+'!$GA:$GB</definedName>
    <definedName name="м47" localSheetId="15">'[12]2+'!$GA:$GB</definedName>
    <definedName name="м47" localSheetId="18">'[13]2+'!$GA:$GB</definedName>
    <definedName name="м47" localSheetId="17">'[12]2+'!$GA:$GB</definedName>
    <definedName name="м47" localSheetId="11">'[13]2+'!$GA:$GB</definedName>
    <definedName name="м47" localSheetId="10">'[13]2+'!$GA:$GB</definedName>
    <definedName name="м47" localSheetId="8">'[13]2+'!$GA:$GB</definedName>
    <definedName name="м47" localSheetId="5">'[13]2+'!$GA:$GB</definedName>
    <definedName name="м47" localSheetId="9">'[13]2+'!$GA:$GB</definedName>
    <definedName name="м47" localSheetId="6">'[13]2+'!$GA:$GB</definedName>
    <definedName name="м47" localSheetId="12">'[13]2+'!$GA:$GB</definedName>
    <definedName name="м47">'[14]2+'!$GA:$GB</definedName>
    <definedName name="м48" localSheetId="7">'[12]2+'!$GE:$GF</definedName>
    <definedName name="м48" localSheetId="15">'[12]2+'!$GE:$GF</definedName>
    <definedName name="м48" localSheetId="18">'[13]2+'!$GE:$GF</definedName>
    <definedName name="м48" localSheetId="17">'[12]2+'!$GE:$GF</definedName>
    <definedName name="м48" localSheetId="11">'[13]2+'!$GE:$GF</definedName>
    <definedName name="м48" localSheetId="10">'[13]2+'!$GE:$GF</definedName>
    <definedName name="м48" localSheetId="8">'[13]2+'!$GE:$GF</definedName>
    <definedName name="м48" localSheetId="5">'[13]2+'!$GE:$GF</definedName>
    <definedName name="м48" localSheetId="9">'[13]2+'!$GE:$GF</definedName>
    <definedName name="м48" localSheetId="6">'[13]2+'!$GE:$GF</definedName>
    <definedName name="м48" localSheetId="12">'[13]2+'!$GE:$GF</definedName>
    <definedName name="м48">'[14]2+'!$GE:$GF</definedName>
    <definedName name="м49" localSheetId="7">'[12]2+'!$GI:$GJ</definedName>
    <definedName name="м49" localSheetId="15">'[12]2+'!$GI:$GJ</definedName>
    <definedName name="м49" localSheetId="18">'[13]2+'!$GI:$GJ</definedName>
    <definedName name="м49" localSheetId="17">'[12]2+'!$GI:$GJ</definedName>
    <definedName name="м49" localSheetId="11">'[13]2+'!$GI:$GJ</definedName>
    <definedName name="м49" localSheetId="10">'[13]2+'!$GI:$GJ</definedName>
    <definedName name="м49" localSheetId="8">'[13]2+'!$GI:$GJ</definedName>
    <definedName name="м49" localSheetId="5">'[13]2+'!$GI:$GJ</definedName>
    <definedName name="м49" localSheetId="9">'[13]2+'!$GI:$GJ</definedName>
    <definedName name="м49" localSheetId="6">'[13]2+'!$GI:$GJ</definedName>
    <definedName name="м49" localSheetId="12">'[13]2+'!$GI:$GJ</definedName>
    <definedName name="м49">'[14]2+'!$GI:$GJ</definedName>
    <definedName name="м5" localSheetId="7">'[12]2+'!$O:$P</definedName>
    <definedName name="м5" localSheetId="15">'[12]2+'!$O:$P</definedName>
    <definedName name="м5" localSheetId="18">'[13]2+'!$O:$P</definedName>
    <definedName name="м5" localSheetId="17">'[12]2+'!$O:$P</definedName>
    <definedName name="м5" localSheetId="11">'[13]2+'!$O:$P</definedName>
    <definedName name="м5" localSheetId="10">'[13]2+'!$O:$P</definedName>
    <definedName name="м5" localSheetId="8">'[13]2+'!$O:$P</definedName>
    <definedName name="м5" localSheetId="5">'[13]2+'!$O:$P</definedName>
    <definedName name="м5" localSheetId="9">'[13]2+'!$O:$P</definedName>
    <definedName name="м5" localSheetId="6">'[13]2+'!$O:$P</definedName>
    <definedName name="м5" localSheetId="12">'[13]2+'!$O:$P</definedName>
    <definedName name="м5">'[14]2+'!$O:$P</definedName>
    <definedName name="м50" localSheetId="7">'[12]2+'!$GM:$GN</definedName>
    <definedName name="м50" localSheetId="15">'[12]2+'!$GM:$GN</definedName>
    <definedName name="м50" localSheetId="18">'[13]2+'!$GM:$GN</definedName>
    <definedName name="м50" localSheetId="17">'[12]2+'!$GM:$GN</definedName>
    <definedName name="м50" localSheetId="11">'[13]2+'!$GM:$GN</definedName>
    <definedName name="м50" localSheetId="10">'[13]2+'!$GM:$GN</definedName>
    <definedName name="м50" localSheetId="8">'[13]2+'!$GM:$GN</definedName>
    <definedName name="м50" localSheetId="5">'[13]2+'!$GM:$GN</definedName>
    <definedName name="м50" localSheetId="9">'[13]2+'!$GM:$GN</definedName>
    <definedName name="м50" localSheetId="6">'[13]2+'!$GM:$GN</definedName>
    <definedName name="м50" localSheetId="12">'[13]2+'!$GM:$GN</definedName>
    <definedName name="м50">'[14]2+'!$GM:$GN</definedName>
    <definedName name="м51" localSheetId="7">'[12]2+'!$GQ:$GR</definedName>
    <definedName name="м51" localSheetId="15">'[12]2+'!$GQ:$GR</definedName>
    <definedName name="м51" localSheetId="18">'[13]2+'!$GQ:$GR</definedName>
    <definedName name="м51" localSheetId="17">'[12]2+'!$GQ:$GR</definedName>
    <definedName name="м51" localSheetId="11">'[13]2+'!$GQ:$GR</definedName>
    <definedName name="м51" localSheetId="10">'[13]2+'!$GQ:$GR</definedName>
    <definedName name="м51" localSheetId="8">'[13]2+'!$GQ:$GR</definedName>
    <definedName name="м51" localSheetId="5">'[13]2+'!$GQ:$GR</definedName>
    <definedName name="м51" localSheetId="9">'[13]2+'!$GQ:$GR</definedName>
    <definedName name="м51" localSheetId="6">'[13]2+'!$GQ:$GR</definedName>
    <definedName name="м51" localSheetId="12">'[13]2+'!$GQ:$GR</definedName>
    <definedName name="м51">'[14]2+'!$GQ:$GR</definedName>
    <definedName name="м52" localSheetId="7">'[12]2+'!$GU:$GV</definedName>
    <definedName name="м52" localSheetId="15">'[12]2+'!$GU:$GV</definedName>
    <definedName name="м52" localSheetId="18">'[13]2+'!$GU:$GV</definedName>
    <definedName name="м52" localSheetId="17">'[12]2+'!$GU:$GV</definedName>
    <definedName name="м52" localSheetId="11">'[13]2+'!$GU:$GV</definedName>
    <definedName name="м52" localSheetId="10">'[13]2+'!$GU:$GV</definedName>
    <definedName name="м52" localSheetId="8">'[13]2+'!$GU:$GV</definedName>
    <definedName name="м52" localSheetId="5">'[13]2+'!$GU:$GV</definedName>
    <definedName name="м52" localSheetId="9">'[13]2+'!$GU:$GV</definedName>
    <definedName name="м52" localSheetId="6">'[13]2+'!$GU:$GV</definedName>
    <definedName name="м52" localSheetId="12">'[13]2+'!$GU:$GV</definedName>
    <definedName name="м52">'[14]2+'!$GU:$GV</definedName>
    <definedName name="м53" localSheetId="7">'[12]2+'!$GY:$GZ</definedName>
    <definedName name="м53" localSheetId="15">'[12]2+'!$GY:$GZ</definedName>
    <definedName name="м53" localSheetId="18">'[13]2+'!$GY:$GZ</definedName>
    <definedName name="м53" localSheetId="17">'[12]2+'!$GY:$GZ</definedName>
    <definedName name="м53" localSheetId="11">'[13]2+'!$GY:$GZ</definedName>
    <definedName name="м53" localSheetId="10">'[13]2+'!$GY:$GZ</definedName>
    <definedName name="м53" localSheetId="8">'[13]2+'!$GY:$GZ</definedName>
    <definedName name="м53" localSheetId="5">'[13]2+'!$GY:$GZ</definedName>
    <definedName name="м53" localSheetId="9">'[13]2+'!$GY:$GZ</definedName>
    <definedName name="м53" localSheetId="6">'[13]2+'!$GY:$GZ</definedName>
    <definedName name="м53" localSheetId="12">'[13]2+'!$GY:$GZ</definedName>
    <definedName name="м53">'[14]2+'!$GY:$GZ</definedName>
    <definedName name="м54" localSheetId="7">'[12]2+'!$HC:$HD</definedName>
    <definedName name="м54" localSheetId="15">'[12]2+'!$HC:$HD</definedName>
    <definedName name="м54" localSheetId="18">'[13]2+'!$HC:$HD</definedName>
    <definedName name="м54" localSheetId="17">'[12]2+'!$HC:$HD</definedName>
    <definedName name="м54" localSheetId="11">'[13]2+'!$HC:$HD</definedName>
    <definedName name="м54" localSheetId="10">'[13]2+'!$HC:$HD</definedName>
    <definedName name="м54" localSheetId="8">'[13]2+'!$HC:$HD</definedName>
    <definedName name="м54" localSheetId="5">'[13]2+'!$HC:$HD</definedName>
    <definedName name="м54" localSheetId="9">'[13]2+'!$HC:$HD</definedName>
    <definedName name="м54" localSheetId="6">'[13]2+'!$HC:$HD</definedName>
    <definedName name="м54" localSheetId="12">'[13]2+'!$HC:$HD</definedName>
    <definedName name="м54">'[14]2+'!$HC:$HD</definedName>
    <definedName name="м55" localSheetId="7">'[12]2+'!$HG:$HH</definedName>
    <definedName name="м55" localSheetId="15">'[12]2+'!$HG:$HH</definedName>
    <definedName name="м55" localSheetId="18">'[13]2+'!$HG:$HH</definedName>
    <definedName name="м55" localSheetId="17">'[12]2+'!$HG:$HH</definedName>
    <definedName name="м55" localSheetId="11">'[13]2+'!$HG:$HH</definedName>
    <definedName name="м55" localSheetId="10">'[13]2+'!$HG:$HH</definedName>
    <definedName name="м55" localSheetId="8">'[13]2+'!$HG:$HH</definedName>
    <definedName name="м55" localSheetId="5">'[13]2+'!$HG:$HH</definedName>
    <definedName name="м55" localSheetId="9">'[13]2+'!$HG:$HH</definedName>
    <definedName name="м55" localSheetId="6">'[13]2+'!$HG:$HH</definedName>
    <definedName name="м55" localSheetId="12">'[13]2+'!$HG:$HH</definedName>
    <definedName name="м55">'[14]2+'!$HG:$HH</definedName>
    <definedName name="м56" localSheetId="7">'[12]2+'!$HK:$HL</definedName>
    <definedName name="м56" localSheetId="15">'[12]2+'!$HK:$HL</definedName>
    <definedName name="м56" localSheetId="18">'[13]2+'!$HK:$HL</definedName>
    <definedName name="м56" localSheetId="17">'[12]2+'!$HK:$HL</definedName>
    <definedName name="м56" localSheetId="11">'[13]2+'!$HK:$HL</definedName>
    <definedName name="м56" localSheetId="10">'[13]2+'!$HK:$HL</definedName>
    <definedName name="м56" localSheetId="8">'[13]2+'!$HK:$HL</definedName>
    <definedName name="м56" localSheetId="5">'[13]2+'!$HK:$HL</definedName>
    <definedName name="м56" localSheetId="9">'[13]2+'!$HK:$HL</definedName>
    <definedName name="м56" localSheetId="6">'[13]2+'!$HK:$HL</definedName>
    <definedName name="м56" localSheetId="12">'[13]2+'!$HK:$HL</definedName>
    <definedName name="м56">'[14]2+'!$HK:$HL</definedName>
    <definedName name="м57" localSheetId="7">'[12]2+'!$HO:$HP</definedName>
    <definedName name="м57" localSheetId="15">'[12]2+'!$HO:$HP</definedName>
    <definedName name="м57" localSheetId="18">'[13]2+'!$HO:$HP</definedName>
    <definedName name="м57" localSheetId="17">'[12]2+'!$HO:$HP</definedName>
    <definedName name="м57" localSheetId="11">'[13]2+'!$HO:$HP</definedName>
    <definedName name="м57" localSheetId="10">'[13]2+'!$HO:$HP</definedName>
    <definedName name="м57" localSheetId="8">'[13]2+'!$HO:$HP</definedName>
    <definedName name="м57" localSheetId="5">'[13]2+'!$HO:$HP</definedName>
    <definedName name="м57" localSheetId="9">'[13]2+'!$HO:$HP</definedName>
    <definedName name="м57" localSheetId="6">'[13]2+'!$HO:$HP</definedName>
    <definedName name="м57" localSheetId="12">'[13]2+'!$HO:$HP</definedName>
    <definedName name="м57">'[14]2+'!$HO:$HP</definedName>
    <definedName name="м58" localSheetId="7">'[12]2+'!$HS:$HT</definedName>
    <definedName name="м58" localSheetId="15">'[12]2+'!$HS:$HT</definedName>
    <definedName name="м58" localSheetId="18">'[13]2+'!$HS:$HT</definedName>
    <definedName name="м58" localSheetId="17">'[12]2+'!$HS:$HT</definedName>
    <definedName name="м58" localSheetId="11">'[13]2+'!$HS:$HT</definedName>
    <definedName name="м58" localSheetId="10">'[13]2+'!$HS:$HT</definedName>
    <definedName name="м58" localSheetId="8">'[13]2+'!$HS:$HT</definedName>
    <definedName name="м58" localSheetId="5">'[13]2+'!$HS:$HT</definedName>
    <definedName name="м58" localSheetId="9">'[13]2+'!$HS:$HT</definedName>
    <definedName name="м58" localSheetId="6">'[13]2+'!$HS:$HT</definedName>
    <definedName name="м58" localSheetId="12">'[13]2+'!$HS:$HT</definedName>
    <definedName name="м58">'[14]2+'!$HS:$HT</definedName>
    <definedName name="м59" localSheetId="7">'[12]2+'!$HW:$HX</definedName>
    <definedName name="м59" localSheetId="15">'[12]2+'!$HW:$HX</definedName>
    <definedName name="м59" localSheetId="18">'[13]2+'!$HW:$HX</definedName>
    <definedName name="м59" localSheetId="17">'[12]2+'!$HW:$HX</definedName>
    <definedName name="м59" localSheetId="11">'[13]2+'!$HW:$HX</definedName>
    <definedName name="м59" localSheetId="10">'[13]2+'!$HW:$HX</definedName>
    <definedName name="м59" localSheetId="8">'[13]2+'!$HW:$HX</definedName>
    <definedName name="м59" localSheetId="5">'[13]2+'!$HW:$HX</definedName>
    <definedName name="м59" localSheetId="9">'[13]2+'!$HW:$HX</definedName>
    <definedName name="м59" localSheetId="6">'[13]2+'!$HW:$HX</definedName>
    <definedName name="м59" localSheetId="12">'[13]2+'!$HW:$HX</definedName>
    <definedName name="м59">'[14]2+'!$HW:$HX</definedName>
    <definedName name="м6" localSheetId="7">'[12]2+'!$S:$T</definedName>
    <definedName name="м6" localSheetId="15">'[12]2+'!$S:$T</definedName>
    <definedName name="м6" localSheetId="18">'[13]2+'!$S:$T</definedName>
    <definedName name="м6" localSheetId="17">'[12]2+'!$S:$T</definedName>
    <definedName name="м6" localSheetId="11">'[13]2+'!$S:$T</definedName>
    <definedName name="м6" localSheetId="10">'[13]2+'!$S:$T</definedName>
    <definedName name="м6" localSheetId="8">'[13]2+'!$S:$T</definedName>
    <definedName name="м6" localSheetId="5">'[13]2+'!$S:$T</definedName>
    <definedName name="м6" localSheetId="9">'[13]2+'!$S:$T</definedName>
    <definedName name="м6" localSheetId="6">'[13]2+'!$S:$T</definedName>
    <definedName name="м6" localSheetId="12">'[13]2+'!$S:$T</definedName>
    <definedName name="м6">'[14]2+'!$S:$T</definedName>
    <definedName name="м60" localSheetId="7">'[12]2+'!$IA:$IB</definedName>
    <definedName name="м60" localSheetId="15">'[12]2+'!$IA:$IB</definedName>
    <definedName name="м60" localSheetId="18">'[13]2+'!$IA:$IB</definedName>
    <definedName name="м60" localSheetId="17">'[12]2+'!$IA:$IB</definedName>
    <definedName name="м60" localSheetId="11">'[13]2+'!$IA:$IB</definedName>
    <definedName name="м60" localSheetId="10">'[13]2+'!$IA:$IB</definedName>
    <definedName name="м60" localSheetId="8">'[13]2+'!$IA:$IB</definedName>
    <definedName name="м60" localSheetId="5">'[13]2+'!$IA:$IB</definedName>
    <definedName name="м60" localSheetId="9">'[13]2+'!$IA:$IB</definedName>
    <definedName name="м60" localSheetId="6">'[13]2+'!$IA:$IB</definedName>
    <definedName name="м60" localSheetId="12">'[13]2+'!$IA:$IB</definedName>
    <definedName name="м60">'[14]2+'!$IA:$IB</definedName>
    <definedName name="м61" localSheetId="7">'[12]2+'!$IE:$IF</definedName>
    <definedName name="м61" localSheetId="15">'[12]2+'!$IE:$IF</definedName>
    <definedName name="м61" localSheetId="18">'[13]2+'!$IE:$IF</definedName>
    <definedName name="м61" localSheetId="17">'[12]2+'!$IE:$IF</definedName>
    <definedName name="м61" localSheetId="11">'[13]2+'!$IE:$IF</definedName>
    <definedName name="м61" localSheetId="10">'[13]2+'!$IE:$IF</definedName>
    <definedName name="м61" localSheetId="8">'[13]2+'!$IE:$IF</definedName>
    <definedName name="м61" localSheetId="5">'[13]2+'!$IE:$IF</definedName>
    <definedName name="м61" localSheetId="9">'[13]2+'!$IE:$IF</definedName>
    <definedName name="м61" localSheetId="6">'[13]2+'!$IE:$IF</definedName>
    <definedName name="м61" localSheetId="12">'[13]2+'!$IE:$IF</definedName>
    <definedName name="м61">'[14]2+'!$IE:$IF</definedName>
    <definedName name="м62" localSheetId="7">'[12]2+'!$II:$IJ</definedName>
    <definedName name="м62" localSheetId="15">'[12]2+'!$II:$IJ</definedName>
    <definedName name="м62" localSheetId="18">'[13]2+'!$II:$IJ</definedName>
    <definedName name="м62" localSheetId="17">'[12]2+'!$II:$IJ</definedName>
    <definedName name="м62" localSheetId="11">'[13]2+'!$II:$IJ</definedName>
    <definedName name="м62" localSheetId="10">'[13]2+'!$II:$IJ</definedName>
    <definedName name="м62" localSheetId="8">'[13]2+'!$II:$IJ</definedName>
    <definedName name="м62" localSheetId="5">'[13]2+'!$II:$IJ</definedName>
    <definedName name="м62" localSheetId="9">'[13]2+'!$II:$IJ</definedName>
    <definedName name="м62" localSheetId="6">'[13]2+'!$II:$IJ</definedName>
    <definedName name="м62" localSheetId="12">'[13]2+'!$II:$IJ</definedName>
    <definedName name="м62">'[14]2+'!$II:$IJ</definedName>
    <definedName name="м63" localSheetId="7">'[12]2+'!$IM:$IN</definedName>
    <definedName name="м63" localSheetId="15">'[12]2+'!$IM:$IN</definedName>
    <definedName name="м63" localSheetId="18">'[13]2+'!$IM:$IN</definedName>
    <definedName name="м63" localSheetId="17">'[12]2+'!$IM:$IN</definedName>
    <definedName name="м63" localSheetId="11">'[13]2+'!$IM:$IN</definedName>
    <definedName name="м63" localSheetId="10">'[13]2+'!$IM:$IN</definedName>
    <definedName name="м63" localSheetId="8">'[13]2+'!$IM:$IN</definedName>
    <definedName name="м63" localSheetId="5">'[13]2+'!$IM:$IN</definedName>
    <definedName name="м63" localSheetId="9">'[13]2+'!$IM:$IN</definedName>
    <definedName name="м63" localSheetId="6">'[13]2+'!$IM:$IN</definedName>
    <definedName name="м63" localSheetId="12">'[13]2+'!$IM:$IN</definedName>
    <definedName name="м63">'[14]2+'!$IM:$IN</definedName>
    <definedName name="м64" localSheetId="7">'[12]2+'!$IQ:$IR</definedName>
    <definedName name="м64" localSheetId="15">'[12]2+'!$IQ:$IR</definedName>
    <definedName name="м64" localSheetId="18">'[13]2+'!$IQ:$IR</definedName>
    <definedName name="м64" localSheetId="17">'[12]2+'!$IQ:$IR</definedName>
    <definedName name="м64" localSheetId="11">'[13]2+'!$IQ:$IR</definedName>
    <definedName name="м64" localSheetId="10">'[13]2+'!$IQ:$IR</definedName>
    <definedName name="м64" localSheetId="8">'[13]2+'!$IQ:$IR</definedName>
    <definedName name="м64" localSheetId="5">'[13]2+'!$IQ:$IR</definedName>
    <definedName name="м64" localSheetId="9">'[13]2+'!$IQ:$IR</definedName>
    <definedName name="м64" localSheetId="6">'[13]2+'!$IQ:$IR</definedName>
    <definedName name="м64" localSheetId="12">'[13]2+'!$IQ:$IR</definedName>
    <definedName name="м64">'[14]2+'!$IQ:$IR</definedName>
    <definedName name="м65" localSheetId="7">'[12]2+'!$IU:$IV</definedName>
    <definedName name="м65" localSheetId="15">'[12]2+'!$IU:$IV</definedName>
    <definedName name="м65" localSheetId="18">'[13]2+'!$IU:$IV</definedName>
    <definedName name="м65" localSheetId="17">'[12]2+'!$IU:$IV</definedName>
    <definedName name="м65" localSheetId="11">'[13]2+'!$IU:$IV</definedName>
    <definedName name="м65" localSheetId="10">'[13]2+'!$IU:$IV</definedName>
    <definedName name="м65" localSheetId="8">'[13]2+'!$IU:$IV</definedName>
    <definedName name="м65" localSheetId="5">'[13]2+'!$IU:$IV</definedName>
    <definedName name="м65" localSheetId="9">'[13]2+'!$IU:$IV</definedName>
    <definedName name="м65" localSheetId="6">'[13]2+'!$IU:$IV</definedName>
    <definedName name="м65" localSheetId="12">'[13]2+'!$IU:$IV</definedName>
    <definedName name="м65">'[14]2+'!$IU:$IV</definedName>
    <definedName name="м66" localSheetId="7">'[12]2+'!$IY:$IZ</definedName>
    <definedName name="м66" localSheetId="15">'[12]2+'!$IY:$IZ</definedName>
    <definedName name="м66" localSheetId="18">'[13]2+'!$IY:$IZ</definedName>
    <definedName name="м66" localSheetId="17">'[12]2+'!$IY:$IZ</definedName>
    <definedName name="м66" localSheetId="11">'[13]2+'!$IY:$IZ</definedName>
    <definedName name="м66" localSheetId="10">'[13]2+'!$IY:$IZ</definedName>
    <definedName name="м66" localSheetId="8">'[13]2+'!$IY:$IZ</definedName>
    <definedName name="м66" localSheetId="5">'[13]2+'!$IY:$IZ</definedName>
    <definedName name="м66" localSheetId="9">'[13]2+'!$IY:$IZ</definedName>
    <definedName name="м66" localSheetId="6">'[13]2+'!$IY:$IZ</definedName>
    <definedName name="м66" localSheetId="12">'[13]2+'!$IY:$IZ</definedName>
    <definedName name="м66">'[14]2+'!$IY:$IZ</definedName>
    <definedName name="м67" localSheetId="7">'[12]2+'!$JC:$JD</definedName>
    <definedName name="м67" localSheetId="15">'[12]2+'!$JC:$JD</definedName>
    <definedName name="м67" localSheetId="18">'[13]2+'!$JC:$JD</definedName>
    <definedName name="м67" localSheetId="17">'[12]2+'!$JC:$JD</definedName>
    <definedName name="м67" localSheetId="11">'[13]2+'!$JC:$JD</definedName>
    <definedName name="м67" localSheetId="10">'[13]2+'!$JC:$JD</definedName>
    <definedName name="м67" localSheetId="8">'[13]2+'!$JC:$JD</definedName>
    <definedName name="м67" localSheetId="5">'[13]2+'!$JC:$JD</definedName>
    <definedName name="м67" localSheetId="9">'[13]2+'!$JC:$JD</definedName>
    <definedName name="м67" localSheetId="6">'[13]2+'!$JC:$JD</definedName>
    <definedName name="м67" localSheetId="12">'[13]2+'!$JC:$JD</definedName>
    <definedName name="м67">'[14]2+'!$JC:$JD</definedName>
    <definedName name="м68" localSheetId="7">'[12]2+'!$JG:$JH</definedName>
    <definedName name="м68" localSheetId="15">'[12]2+'!$JG:$JH</definedName>
    <definedName name="м68" localSheetId="18">'[13]2+'!$JG:$JH</definedName>
    <definedName name="м68" localSheetId="17">'[12]2+'!$JG:$JH</definedName>
    <definedName name="м68" localSheetId="11">'[13]2+'!$JG:$JH</definedName>
    <definedName name="м68" localSheetId="10">'[13]2+'!$JG:$JH</definedName>
    <definedName name="м68" localSheetId="8">'[13]2+'!$JG:$JH</definedName>
    <definedName name="м68" localSheetId="5">'[13]2+'!$JG:$JH</definedName>
    <definedName name="м68" localSheetId="9">'[13]2+'!$JG:$JH</definedName>
    <definedName name="м68" localSheetId="6">'[13]2+'!$JG:$JH</definedName>
    <definedName name="м68" localSheetId="12">'[13]2+'!$JG:$JH</definedName>
    <definedName name="м68">'[14]2+'!$JG:$JH</definedName>
    <definedName name="м69" localSheetId="7">'[12]2+'!$JK:$JL</definedName>
    <definedName name="м69" localSheetId="15">'[12]2+'!$JK:$JL</definedName>
    <definedName name="м69" localSheetId="18">'[13]2+'!$JK:$JL</definedName>
    <definedName name="м69" localSheetId="17">'[12]2+'!$JK:$JL</definedName>
    <definedName name="м69" localSheetId="11">'[13]2+'!$JK:$JL</definedName>
    <definedName name="м69" localSheetId="10">'[13]2+'!$JK:$JL</definedName>
    <definedName name="м69" localSheetId="8">'[13]2+'!$JK:$JL</definedName>
    <definedName name="м69" localSheetId="5">'[13]2+'!$JK:$JL</definedName>
    <definedName name="м69" localSheetId="9">'[13]2+'!$JK:$JL</definedName>
    <definedName name="м69" localSheetId="6">'[13]2+'!$JK:$JL</definedName>
    <definedName name="м69" localSheetId="12">'[13]2+'!$JK:$JL</definedName>
    <definedName name="м69">'[14]2+'!$JK:$JL</definedName>
    <definedName name="м7" localSheetId="7">'[12]2+'!$W:$X</definedName>
    <definedName name="м7" localSheetId="15">'[12]2+'!$W:$X</definedName>
    <definedName name="м7" localSheetId="18">'[13]2+'!$W:$X</definedName>
    <definedName name="м7" localSheetId="17">'[12]2+'!$W:$X</definedName>
    <definedName name="м7" localSheetId="11">'[13]2+'!$W:$X</definedName>
    <definedName name="м7" localSheetId="10">'[13]2+'!$W:$X</definedName>
    <definedName name="м7" localSheetId="8">'[13]2+'!$W:$X</definedName>
    <definedName name="м7" localSheetId="5">'[13]2+'!$W:$X</definedName>
    <definedName name="м7" localSheetId="9">'[13]2+'!$W:$X</definedName>
    <definedName name="м7" localSheetId="6">'[13]2+'!$W:$X</definedName>
    <definedName name="м7" localSheetId="12">'[13]2+'!$W:$X</definedName>
    <definedName name="м7">'[14]2+'!$W:$X</definedName>
    <definedName name="м70" localSheetId="7">'[12]2+'!$JO:$JP</definedName>
    <definedName name="м70" localSheetId="15">'[12]2+'!$JO:$JP</definedName>
    <definedName name="м70" localSheetId="18">'[13]2+'!$JO:$JP</definedName>
    <definedName name="м70" localSheetId="17">'[12]2+'!$JO:$JP</definedName>
    <definedName name="м70" localSheetId="11">'[13]2+'!$JO:$JP</definedName>
    <definedName name="м70" localSheetId="10">'[13]2+'!$JO:$JP</definedName>
    <definedName name="м70" localSheetId="8">'[13]2+'!$JO:$JP</definedName>
    <definedName name="м70" localSheetId="5">'[13]2+'!$JO:$JP</definedName>
    <definedName name="м70" localSheetId="9">'[13]2+'!$JO:$JP</definedName>
    <definedName name="м70" localSheetId="6">'[13]2+'!$JO:$JP</definedName>
    <definedName name="м70" localSheetId="12">'[13]2+'!$JO:$JP</definedName>
    <definedName name="м70">'[14]2+'!$JO:$JP</definedName>
    <definedName name="м71" localSheetId="7">'[12]2+'!$JS:$JT</definedName>
    <definedName name="м71" localSheetId="15">'[12]2+'!$JS:$JT</definedName>
    <definedName name="м71" localSheetId="18">'[13]2+'!$JS:$JT</definedName>
    <definedName name="м71" localSheetId="17">'[12]2+'!$JS:$JT</definedName>
    <definedName name="м71" localSheetId="11">'[13]2+'!$JS:$JT</definedName>
    <definedName name="м71" localSheetId="10">'[13]2+'!$JS:$JT</definedName>
    <definedName name="м71" localSheetId="8">'[13]2+'!$JS:$JT</definedName>
    <definedName name="м71" localSheetId="5">'[13]2+'!$JS:$JT</definedName>
    <definedName name="м71" localSheetId="9">'[13]2+'!$JS:$JT</definedName>
    <definedName name="м71" localSheetId="6">'[13]2+'!$JS:$JT</definedName>
    <definedName name="м71" localSheetId="12">'[13]2+'!$JS:$JT</definedName>
    <definedName name="м71">'[14]2+'!$JS:$JT</definedName>
    <definedName name="м72" localSheetId="7">'[12]2+'!$JW:$JX</definedName>
    <definedName name="м72" localSheetId="15">'[12]2+'!$JW:$JX</definedName>
    <definedName name="м72" localSheetId="18">'[13]2+'!$JW:$JX</definedName>
    <definedName name="м72" localSheetId="17">'[12]2+'!$JW:$JX</definedName>
    <definedName name="м72" localSheetId="11">'[13]2+'!$JW:$JX</definedName>
    <definedName name="м72" localSheetId="10">'[13]2+'!$JW:$JX</definedName>
    <definedName name="м72" localSheetId="8">'[13]2+'!$JW:$JX</definedName>
    <definedName name="м72" localSheetId="5">'[13]2+'!$JW:$JX</definedName>
    <definedName name="м72" localSheetId="9">'[13]2+'!$JW:$JX</definedName>
    <definedName name="м72" localSheetId="6">'[13]2+'!$JW:$JX</definedName>
    <definedName name="м72" localSheetId="12">'[13]2+'!$JW:$JX</definedName>
    <definedName name="м72">'[14]2+'!$JW:$JX</definedName>
    <definedName name="м73" localSheetId="7">'[12]2+'!$KA:$KB</definedName>
    <definedName name="м73" localSheetId="15">'[12]2+'!$KA:$KB</definedName>
    <definedName name="м73" localSheetId="18">'[13]2+'!$KA:$KB</definedName>
    <definedName name="м73" localSheetId="17">'[12]2+'!$KA:$KB</definedName>
    <definedName name="м73" localSheetId="11">'[13]2+'!$KA:$KB</definedName>
    <definedName name="м73" localSheetId="10">'[13]2+'!$KA:$KB</definedName>
    <definedName name="м73" localSheetId="8">'[13]2+'!$KA:$KB</definedName>
    <definedName name="м73" localSheetId="5">'[13]2+'!$KA:$KB</definedName>
    <definedName name="м73" localSheetId="9">'[13]2+'!$KA:$KB</definedName>
    <definedName name="м73" localSheetId="6">'[13]2+'!$KA:$KB</definedName>
    <definedName name="м73" localSheetId="12">'[13]2+'!$KA:$KB</definedName>
    <definedName name="м73">'[14]2+'!$KA:$KB</definedName>
    <definedName name="м74" localSheetId="7">'[12]2+'!$KE:$KF</definedName>
    <definedName name="м74" localSheetId="15">'[12]2+'!$KE:$KF</definedName>
    <definedName name="м74" localSheetId="18">'[13]2+'!$KE:$KF</definedName>
    <definedName name="м74" localSheetId="17">'[12]2+'!$KE:$KF</definedName>
    <definedName name="м74" localSheetId="11">'[13]2+'!$KE:$KF</definedName>
    <definedName name="м74" localSheetId="10">'[13]2+'!$KE:$KF</definedName>
    <definedName name="м74" localSheetId="8">'[13]2+'!$KE:$KF</definedName>
    <definedName name="м74" localSheetId="5">'[13]2+'!$KE:$KF</definedName>
    <definedName name="м74" localSheetId="9">'[13]2+'!$KE:$KF</definedName>
    <definedName name="м74" localSheetId="6">'[13]2+'!$KE:$KF</definedName>
    <definedName name="м74" localSheetId="12">'[13]2+'!$KE:$KF</definedName>
    <definedName name="м74">'[14]2+'!$KE:$KF</definedName>
    <definedName name="м75" localSheetId="7">'[12]2+'!$KI:$KJ</definedName>
    <definedName name="м75" localSheetId="15">'[12]2+'!$KI:$KJ</definedName>
    <definedName name="м75" localSheetId="18">'[13]2+'!$KI:$KJ</definedName>
    <definedName name="м75" localSheetId="17">'[12]2+'!$KI:$KJ</definedName>
    <definedName name="м75" localSheetId="11">'[13]2+'!$KI:$KJ</definedName>
    <definedName name="м75" localSheetId="10">'[13]2+'!$KI:$KJ</definedName>
    <definedName name="м75" localSheetId="8">'[13]2+'!$KI:$KJ</definedName>
    <definedName name="м75" localSheetId="5">'[13]2+'!$KI:$KJ</definedName>
    <definedName name="м75" localSheetId="9">'[13]2+'!$KI:$KJ</definedName>
    <definedName name="м75" localSheetId="6">'[13]2+'!$KI:$KJ</definedName>
    <definedName name="м75" localSheetId="12">'[13]2+'!$KI:$KJ</definedName>
    <definedName name="м75">'[14]2+'!$KI:$KJ</definedName>
    <definedName name="м76" localSheetId="7">'[12]2+'!$KM:$KN</definedName>
    <definedName name="м76" localSheetId="15">'[12]2+'!$KM:$KN</definedName>
    <definedName name="м76" localSheetId="18">'[13]2+'!$KM:$KN</definedName>
    <definedName name="м76" localSheetId="17">'[12]2+'!$KM:$KN</definedName>
    <definedName name="м76" localSheetId="11">'[13]2+'!$KM:$KN</definedName>
    <definedName name="м76" localSheetId="10">'[13]2+'!$KM:$KN</definedName>
    <definedName name="м76" localSheetId="8">'[13]2+'!$KM:$KN</definedName>
    <definedName name="м76" localSheetId="5">'[13]2+'!$KM:$KN</definedName>
    <definedName name="м76" localSheetId="9">'[13]2+'!$KM:$KN</definedName>
    <definedName name="м76" localSheetId="6">'[13]2+'!$KM:$KN</definedName>
    <definedName name="м76" localSheetId="12">'[13]2+'!$KM:$KN</definedName>
    <definedName name="м76">'[14]2+'!$KM:$KN</definedName>
    <definedName name="м77" localSheetId="7">'[12]2+'!$KQ:$KR</definedName>
    <definedName name="м77" localSheetId="15">'[12]2+'!$KQ:$KR</definedName>
    <definedName name="м77" localSheetId="18">'[13]2+'!$KQ:$KR</definedName>
    <definedName name="м77" localSheetId="17">'[12]2+'!$KQ:$KR</definedName>
    <definedName name="м77" localSheetId="11">'[13]2+'!$KQ:$KR</definedName>
    <definedName name="м77" localSheetId="10">'[13]2+'!$KQ:$KR</definedName>
    <definedName name="м77" localSheetId="8">'[13]2+'!$KQ:$KR</definedName>
    <definedName name="м77" localSheetId="5">'[13]2+'!$KQ:$KR</definedName>
    <definedName name="м77" localSheetId="9">'[13]2+'!$KQ:$KR</definedName>
    <definedName name="м77" localSheetId="6">'[13]2+'!$KQ:$KR</definedName>
    <definedName name="м77" localSheetId="12">'[13]2+'!$KQ:$KR</definedName>
    <definedName name="м77">'[14]2+'!$KQ:$KR</definedName>
    <definedName name="м78" localSheetId="7">'[12]2+'!$KU:$KV</definedName>
    <definedName name="м78" localSheetId="15">'[12]2+'!$KU:$KV</definedName>
    <definedName name="м78" localSheetId="18">'[13]2+'!$KU:$KV</definedName>
    <definedName name="м78" localSheetId="17">'[12]2+'!$KU:$KV</definedName>
    <definedName name="м78" localSheetId="11">'[13]2+'!$KU:$KV</definedName>
    <definedName name="м78" localSheetId="10">'[13]2+'!$KU:$KV</definedName>
    <definedName name="м78" localSheetId="8">'[13]2+'!$KU:$KV</definedName>
    <definedName name="м78" localSheetId="5">'[13]2+'!$KU:$KV</definedName>
    <definedName name="м78" localSheetId="9">'[13]2+'!$KU:$KV</definedName>
    <definedName name="м78" localSheetId="6">'[13]2+'!$KU:$KV</definedName>
    <definedName name="м78" localSheetId="12">'[13]2+'!$KU:$KV</definedName>
    <definedName name="м78">'[14]2+'!$KU:$KV</definedName>
    <definedName name="м79" localSheetId="7">'[12]2+'!$KY:$KZ</definedName>
    <definedName name="м79" localSheetId="15">'[12]2+'!$KY:$KZ</definedName>
    <definedName name="м79" localSheetId="18">'[13]2+'!$KY:$KZ</definedName>
    <definedName name="м79" localSheetId="17">'[12]2+'!$KY:$KZ</definedName>
    <definedName name="м79" localSheetId="11">'[13]2+'!$KY:$KZ</definedName>
    <definedName name="м79" localSheetId="10">'[13]2+'!$KY:$KZ</definedName>
    <definedName name="м79" localSheetId="8">'[13]2+'!$KY:$KZ</definedName>
    <definedName name="м79" localSheetId="5">'[13]2+'!$KY:$KZ</definedName>
    <definedName name="м79" localSheetId="9">'[13]2+'!$KY:$KZ</definedName>
    <definedName name="м79" localSheetId="6">'[13]2+'!$KY:$KZ</definedName>
    <definedName name="м79" localSheetId="12">'[13]2+'!$KY:$KZ</definedName>
    <definedName name="м79">'[14]2+'!$KY:$KZ</definedName>
    <definedName name="м8" localSheetId="7">'[12]2+'!$AA:$AB</definedName>
    <definedName name="м8" localSheetId="15">'[12]2+'!$AA:$AB</definedName>
    <definedName name="м8" localSheetId="18">'[13]2+'!$AA:$AB</definedName>
    <definedName name="м8" localSheetId="17">'[12]2+'!$AA:$AB</definedName>
    <definedName name="м8" localSheetId="11">'[13]2+'!$AA:$AB</definedName>
    <definedName name="м8" localSheetId="10">'[13]2+'!$AA:$AB</definedName>
    <definedName name="м8" localSheetId="8">'[13]2+'!$AA:$AB</definedName>
    <definedName name="м8" localSheetId="5">'[13]2+'!$AA:$AB</definedName>
    <definedName name="м8" localSheetId="9">'[13]2+'!$AA:$AB</definedName>
    <definedName name="м8" localSheetId="6">'[13]2+'!$AA:$AB</definedName>
    <definedName name="м8" localSheetId="12">'[13]2+'!$AA:$AB</definedName>
    <definedName name="м8">'[14]2+'!$AA:$AB</definedName>
    <definedName name="м80" localSheetId="7">'[12]2+'!$LC:$LD</definedName>
    <definedName name="м80" localSheetId="15">'[12]2+'!$LC:$LD</definedName>
    <definedName name="м80" localSheetId="18">'[13]2+'!$LC:$LD</definedName>
    <definedName name="м80" localSheetId="17">'[12]2+'!$LC:$LD</definedName>
    <definedName name="м80" localSheetId="11">'[13]2+'!$LC:$LD</definedName>
    <definedName name="м80" localSheetId="10">'[13]2+'!$LC:$LD</definedName>
    <definedName name="м80" localSheetId="8">'[13]2+'!$LC:$LD</definedName>
    <definedName name="м80" localSheetId="5">'[13]2+'!$LC:$LD</definedName>
    <definedName name="м80" localSheetId="9">'[13]2+'!$LC:$LD</definedName>
    <definedName name="м80" localSheetId="6">'[13]2+'!$LC:$LD</definedName>
    <definedName name="м80" localSheetId="12">'[13]2+'!$LC:$LD</definedName>
    <definedName name="м80">'[14]2+'!$LC:$LD</definedName>
    <definedName name="м81" localSheetId="7">'[12]2+'!$LG:$LH</definedName>
    <definedName name="м81" localSheetId="15">'[12]2+'!$LG:$LH</definedName>
    <definedName name="м81" localSheetId="18">'[13]2+'!$LG:$LH</definedName>
    <definedName name="м81" localSheetId="17">'[12]2+'!$LG:$LH</definedName>
    <definedName name="м81" localSheetId="11">'[13]2+'!$LG:$LH</definedName>
    <definedName name="м81" localSheetId="10">'[13]2+'!$LG:$LH</definedName>
    <definedName name="м81" localSheetId="8">'[13]2+'!$LG:$LH</definedName>
    <definedName name="м81" localSheetId="5">'[13]2+'!$LG:$LH</definedName>
    <definedName name="м81" localSheetId="9">'[13]2+'!$LG:$LH</definedName>
    <definedName name="м81" localSheetId="6">'[13]2+'!$LG:$LH</definedName>
    <definedName name="м81" localSheetId="12">'[13]2+'!$LG:$LH</definedName>
    <definedName name="м81">'[14]2+'!$LG:$LH</definedName>
    <definedName name="м82" localSheetId="7">'[12]2+'!$LK:$LL</definedName>
    <definedName name="м82" localSheetId="15">'[12]2+'!$LK:$LL</definedName>
    <definedName name="м82" localSheetId="18">'[13]2+'!$LK:$LL</definedName>
    <definedName name="м82" localSheetId="17">'[12]2+'!$LK:$LL</definedName>
    <definedName name="м82" localSheetId="11">'[13]2+'!$LK:$LL</definedName>
    <definedName name="м82" localSheetId="10">'[13]2+'!$LK:$LL</definedName>
    <definedName name="м82" localSheetId="8">'[13]2+'!$LK:$LL</definedName>
    <definedName name="м82" localSheetId="5">'[13]2+'!$LK:$LL</definedName>
    <definedName name="м82" localSheetId="9">'[13]2+'!$LK:$LL</definedName>
    <definedName name="м82" localSheetId="6">'[13]2+'!$LK:$LL</definedName>
    <definedName name="м82" localSheetId="12">'[13]2+'!$LK:$LL</definedName>
    <definedName name="м82">'[14]2+'!$LK:$LL</definedName>
    <definedName name="м83" localSheetId="7">'[12]2+'!$LO:$LP</definedName>
    <definedName name="м83" localSheetId="15">'[12]2+'!$LO:$LP</definedName>
    <definedName name="м83" localSheetId="18">'[13]2+'!$LO:$LP</definedName>
    <definedName name="м83" localSheetId="17">'[12]2+'!$LO:$LP</definedName>
    <definedName name="м83" localSheetId="11">'[13]2+'!$LO:$LP</definedName>
    <definedName name="м83" localSheetId="10">'[13]2+'!$LO:$LP</definedName>
    <definedName name="м83" localSheetId="8">'[13]2+'!$LO:$LP</definedName>
    <definedName name="м83" localSheetId="5">'[13]2+'!$LO:$LP</definedName>
    <definedName name="м83" localSheetId="9">'[13]2+'!$LO:$LP</definedName>
    <definedName name="м83" localSheetId="6">'[13]2+'!$LO:$LP</definedName>
    <definedName name="м83" localSheetId="12">'[13]2+'!$LO:$LP</definedName>
    <definedName name="м83">'[14]2+'!$LO:$LP</definedName>
    <definedName name="м84" localSheetId="7">'[12]2+'!$LS:$LT</definedName>
    <definedName name="м84" localSheetId="15">'[12]2+'!$LS:$LT</definedName>
    <definedName name="м84" localSheetId="18">'[13]2+'!$LS:$LT</definedName>
    <definedName name="м84" localSheetId="17">'[12]2+'!$LS:$LT</definedName>
    <definedName name="м84" localSheetId="11">'[13]2+'!$LS:$LT</definedName>
    <definedName name="м84" localSheetId="10">'[13]2+'!$LS:$LT</definedName>
    <definedName name="м84" localSheetId="8">'[13]2+'!$LS:$LT</definedName>
    <definedName name="м84" localSheetId="5">'[13]2+'!$LS:$LT</definedName>
    <definedName name="м84" localSheetId="9">'[13]2+'!$LS:$LT</definedName>
    <definedName name="м84" localSheetId="6">'[13]2+'!$LS:$LT</definedName>
    <definedName name="м84" localSheetId="12">'[13]2+'!$LS:$LT</definedName>
    <definedName name="м84">'[14]2+'!$LS:$LT</definedName>
    <definedName name="м85" localSheetId="7">'[12]2+'!$LW:$LX</definedName>
    <definedName name="м85" localSheetId="15">'[12]2+'!$LW:$LX</definedName>
    <definedName name="м85" localSheetId="18">'[13]2+'!$LW:$LX</definedName>
    <definedName name="м85" localSheetId="17">'[12]2+'!$LW:$LX</definedName>
    <definedName name="м85" localSheetId="11">'[13]2+'!$LW:$LX</definedName>
    <definedName name="м85" localSheetId="10">'[13]2+'!$LW:$LX</definedName>
    <definedName name="м85" localSheetId="8">'[13]2+'!$LW:$LX</definedName>
    <definedName name="м85" localSheetId="5">'[13]2+'!$LW:$LX</definedName>
    <definedName name="м85" localSheetId="9">'[13]2+'!$LW:$LX</definedName>
    <definedName name="м85" localSheetId="6">'[13]2+'!$LW:$LX</definedName>
    <definedName name="м85" localSheetId="12">'[13]2+'!$LW:$LX</definedName>
    <definedName name="м85">'[14]2+'!$LW:$LX</definedName>
    <definedName name="м86" localSheetId="7">'[12]2+'!$MA:$MB</definedName>
    <definedName name="м86" localSheetId="15">'[12]2+'!$MA:$MB</definedName>
    <definedName name="м86" localSheetId="18">'[13]2+'!$MA:$MB</definedName>
    <definedName name="м86" localSheetId="17">'[12]2+'!$MA:$MB</definedName>
    <definedName name="м86" localSheetId="11">'[13]2+'!$MA:$MB</definedName>
    <definedName name="м86" localSheetId="10">'[13]2+'!$MA:$MB</definedName>
    <definedName name="м86" localSheetId="8">'[13]2+'!$MA:$MB</definedName>
    <definedName name="м86" localSheetId="5">'[13]2+'!$MA:$MB</definedName>
    <definedName name="м86" localSheetId="9">'[13]2+'!$MA:$MB</definedName>
    <definedName name="м86" localSheetId="6">'[13]2+'!$MA:$MB</definedName>
    <definedName name="м86" localSheetId="12">'[13]2+'!$MA:$MB</definedName>
    <definedName name="м86">'[14]2+'!$MA:$MB</definedName>
    <definedName name="м87" localSheetId="7">'[12]2+'!$ME:$MF</definedName>
    <definedName name="м87" localSheetId="15">'[12]2+'!$ME:$MF</definedName>
    <definedName name="м87" localSheetId="18">'[13]2+'!$ME:$MF</definedName>
    <definedName name="м87" localSheetId="17">'[12]2+'!$ME:$MF</definedName>
    <definedName name="м87" localSheetId="11">'[13]2+'!$ME:$MF</definedName>
    <definedName name="м87" localSheetId="10">'[13]2+'!$ME:$MF</definedName>
    <definedName name="м87" localSheetId="8">'[13]2+'!$ME:$MF</definedName>
    <definedName name="м87" localSheetId="5">'[13]2+'!$ME:$MF</definedName>
    <definedName name="м87" localSheetId="9">'[13]2+'!$ME:$MF</definedName>
    <definedName name="м87" localSheetId="6">'[13]2+'!$ME:$MF</definedName>
    <definedName name="м87" localSheetId="12">'[13]2+'!$ME:$MF</definedName>
    <definedName name="м87">'[14]2+'!$ME:$MF</definedName>
    <definedName name="м88" localSheetId="7">'[12]2+'!$MI:$MJ</definedName>
    <definedName name="м88" localSheetId="15">'[12]2+'!$MI:$MJ</definedName>
    <definedName name="м88" localSheetId="18">'[13]2+'!$MI:$MJ</definedName>
    <definedName name="м88" localSheetId="17">'[12]2+'!$MI:$MJ</definedName>
    <definedName name="м88" localSheetId="11">'[13]2+'!$MI:$MJ</definedName>
    <definedName name="м88" localSheetId="10">'[13]2+'!$MI:$MJ</definedName>
    <definedName name="м88" localSheetId="8">'[13]2+'!$MI:$MJ</definedName>
    <definedName name="м88" localSheetId="5">'[13]2+'!$MI:$MJ</definedName>
    <definedName name="м88" localSheetId="9">'[13]2+'!$MI:$MJ</definedName>
    <definedName name="м88" localSheetId="6">'[13]2+'!$MI:$MJ</definedName>
    <definedName name="м88" localSheetId="12">'[13]2+'!$MI:$MJ</definedName>
    <definedName name="м88">'[14]2+'!$MI:$MJ</definedName>
    <definedName name="м89" localSheetId="7">'[12]2+'!$MM:$MN</definedName>
    <definedName name="м89" localSheetId="15">'[12]2+'!$MM:$MN</definedName>
    <definedName name="м89" localSheetId="18">'[13]2+'!$MM:$MN</definedName>
    <definedName name="м89" localSheetId="17">'[12]2+'!$MM:$MN</definedName>
    <definedName name="м89" localSheetId="11">'[13]2+'!$MM:$MN</definedName>
    <definedName name="м89" localSheetId="10">'[13]2+'!$MM:$MN</definedName>
    <definedName name="м89" localSheetId="8">'[13]2+'!$MM:$MN</definedName>
    <definedName name="м89" localSheetId="5">'[13]2+'!$MM:$MN</definedName>
    <definedName name="м89" localSheetId="9">'[13]2+'!$MM:$MN</definedName>
    <definedName name="м89" localSheetId="6">'[13]2+'!$MM:$MN</definedName>
    <definedName name="м89" localSheetId="12">'[13]2+'!$MM:$MN</definedName>
    <definedName name="м89">'[14]2+'!$MM:$MN</definedName>
    <definedName name="м9" localSheetId="7">'[12]2+'!$AE:$AF</definedName>
    <definedName name="м9" localSheetId="15">'[12]2+'!$AE:$AF</definedName>
    <definedName name="м9" localSheetId="18">'[13]2+'!$AE:$AF</definedName>
    <definedName name="м9" localSheetId="17">'[12]2+'!$AE:$AF</definedName>
    <definedName name="м9" localSheetId="11">'[13]2+'!$AE:$AF</definedName>
    <definedName name="м9" localSheetId="10">'[13]2+'!$AE:$AF</definedName>
    <definedName name="м9" localSheetId="8">'[13]2+'!$AE:$AF</definedName>
    <definedName name="м9" localSheetId="5">'[13]2+'!$AE:$AF</definedName>
    <definedName name="м9" localSheetId="9">'[13]2+'!$AE:$AF</definedName>
    <definedName name="м9" localSheetId="6">'[13]2+'!$AE:$AF</definedName>
    <definedName name="м9" localSheetId="12">'[13]2+'!$AE:$AF</definedName>
    <definedName name="м9">'[14]2+'!$AE:$AF</definedName>
    <definedName name="м90" localSheetId="7">'[12]2+'!$MQ:$MR</definedName>
    <definedName name="м90" localSheetId="15">'[12]2+'!$MQ:$MR</definedName>
    <definedName name="м90" localSheetId="18">'[13]2+'!$MQ:$MR</definedName>
    <definedName name="м90" localSheetId="17">'[12]2+'!$MQ:$MR</definedName>
    <definedName name="м90" localSheetId="11">'[13]2+'!$MQ:$MR</definedName>
    <definedName name="м90" localSheetId="10">'[13]2+'!$MQ:$MR</definedName>
    <definedName name="м90" localSheetId="8">'[13]2+'!$MQ:$MR</definedName>
    <definedName name="м90" localSheetId="5">'[13]2+'!$MQ:$MR</definedName>
    <definedName name="м90" localSheetId="9">'[13]2+'!$MQ:$MR</definedName>
    <definedName name="м90" localSheetId="6">'[13]2+'!$MQ:$MR</definedName>
    <definedName name="м90" localSheetId="12">'[13]2+'!$MQ:$MR</definedName>
    <definedName name="м90">'[14]2+'!$MQ:$MR</definedName>
    <definedName name="м91" localSheetId="7">'[12]2+'!$MU:$MV</definedName>
    <definedName name="м91" localSheetId="15">'[12]2+'!$MU:$MV</definedName>
    <definedName name="м91" localSheetId="18">'[13]2+'!$MU:$MV</definedName>
    <definedName name="м91" localSheetId="17">'[12]2+'!$MU:$MV</definedName>
    <definedName name="м91" localSheetId="11">'[13]2+'!$MU:$MV</definedName>
    <definedName name="м91" localSheetId="10">'[13]2+'!$MU:$MV</definedName>
    <definedName name="м91" localSheetId="8">'[13]2+'!$MU:$MV</definedName>
    <definedName name="м91" localSheetId="5">'[13]2+'!$MU:$MV</definedName>
    <definedName name="м91" localSheetId="9">'[13]2+'!$MU:$MV</definedName>
    <definedName name="м91" localSheetId="6">'[13]2+'!$MU:$MV</definedName>
    <definedName name="м91" localSheetId="12">'[13]2+'!$MU:$MV</definedName>
    <definedName name="м91">'[14]2+'!$MU:$MV</definedName>
    <definedName name="м92" localSheetId="7">'[12]2+'!$MY:$MZ</definedName>
    <definedName name="м92" localSheetId="15">'[12]2+'!$MY:$MZ</definedName>
    <definedName name="м92" localSheetId="18">'[13]2+'!$MY:$MZ</definedName>
    <definedName name="м92" localSheetId="17">'[12]2+'!$MY:$MZ</definedName>
    <definedName name="м92" localSheetId="11">'[13]2+'!$MY:$MZ</definedName>
    <definedName name="м92" localSheetId="10">'[13]2+'!$MY:$MZ</definedName>
    <definedName name="м92" localSheetId="8">'[13]2+'!$MY:$MZ</definedName>
    <definedName name="м92" localSheetId="5">'[13]2+'!$MY:$MZ</definedName>
    <definedName name="м92" localSheetId="9">'[13]2+'!$MY:$MZ</definedName>
    <definedName name="м92" localSheetId="6">'[13]2+'!$MY:$MZ</definedName>
    <definedName name="м92" localSheetId="12">'[13]2+'!$MY:$MZ</definedName>
    <definedName name="м92">'[14]2+'!$MY:$MZ</definedName>
    <definedName name="м93" localSheetId="7">'[12]2+'!$NC:$ND</definedName>
    <definedName name="м93" localSheetId="15">'[12]2+'!$NC:$ND</definedName>
    <definedName name="м93" localSheetId="18">'[13]2+'!$NC:$ND</definedName>
    <definedName name="м93" localSheetId="17">'[12]2+'!$NC:$ND</definedName>
    <definedName name="м93" localSheetId="11">'[13]2+'!$NC:$ND</definedName>
    <definedName name="м93" localSheetId="10">'[13]2+'!$NC:$ND</definedName>
    <definedName name="м93" localSheetId="8">'[13]2+'!$NC:$ND</definedName>
    <definedName name="м93" localSheetId="5">'[13]2+'!$NC:$ND</definedName>
    <definedName name="м93" localSheetId="9">'[13]2+'!$NC:$ND</definedName>
    <definedName name="м93" localSheetId="6">'[13]2+'!$NC:$ND</definedName>
    <definedName name="м93" localSheetId="12">'[13]2+'!$NC:$ND</definedName>
    <definedName name="м93">'[14]2+'!$NC:$ND</definedName>
    <definedName name="м94" localSheetId="7">'[12]2+'!$NG:$NH</definedName>
    <definedName name="м94" localSheetId="15">'[12]2+'!$NG:$NH</definedName>
    <definedName name="м94" localSheetId="18">'[13]2+'!$NG:$NH</definedName>
    <definedName name="м94" localSheetId="17">'[12]2+'!$NG:$NH</definedName>
    <definedName name="м94" localSheetId="11">'[13]2+'!$NG:$NH</definedName>
    <definedName name="м94" localSheetId="10">'[13]2+'!$NG:$NH</definedName>
    <definedName name="м94" localSheetId="8">'[13]2+'!$NG:$NH</definedName>
    <definedName name="м94" localSheetId="5">'[13]2+'!$NG:$NH</definedName>
    <definedName name="м94" localSheetId="9">'[13]2+'!$NG:$NH</definedName>
    <definedName name="м94" localSheetId="6">'[13]2+'!$NG:$NH</definedName>
    <definedName name="м94" localSheetId="12">'[13]2+'!$NG:$NH</definedName>
    <definedName name="м94">'[14]2+'!$NG:$NH</definedName>
    <definedName name="м95" localSheetId="7">'[12]2+'!$NK:$NL</definedName>
    <definedName name="м95" localSheetId="15">'[12]2+'!$NK:$NL</definedName>
    <definedName name="м95" localSheetId="18">'[13]2+'!$NK:$NL</definedName>
    <definedName name="м95" localSheetId="17">'[12]2+'!$NK:$NL</definedName>
    <definedName name="м95" localSheetId="11">'[13]2+'!$NK:$NL</definedName>
    <definedName name="м95" localSheetId="10">'[13]2+'!$NK:$NL</definedName>
    <definedName name="м95" localSheetId="8">'[13]2+'!$NK:$NL</definedName>
    <definedName name="м95" localSheetId="5">'[13]2+'!$NK:$NL</definedName>
    <definedName name="м95" localSheetId="9">'[13]2+'!$NK:$NL</definedName>
    <definedName name="м95" localSheetId="6">'[13]2+'!$NK:$NL</definedName>
    <definedName name="м95" localSheetId="12">'[13]2+'!$NK:$NL</definedName>
    <definedName name="м95">'[14]2+'!$NK:$NL</definedName>
    <definedName name="м96" localSheetId="7">'[12]2+'!$NO:$NP</definedName>
    <definedName name="м96" localSheetId="15">'[12]2+'!$NO:$NP</definedName>
    <definedName name="м96" localSheetId="18">'[13]2+'!$NO:$NP</definedName>
    <definedName name="м96" localSheetId="17">'[12]2+'!$NO:$NP</definedName>
    <definedName name="м96" localSheetId="11">'[13]2+'!$NO:$NP</definedName>
    <definedName name="м96" localSheetId="10">'[13]2+'!$NO:$NP</definedName>
    <definedName name="м96" localSheetId="8">'[13]2+'!$NO:$NP</definedName>
    <definedName name="м96" localSheetId="5">'[13]2+'!$NO:$NP</definedName>
    <definedName name="м96" localSheetId="9">'[13]2+'!$NO:$NP</definedName>
    <definedName name="м96" localSheetId="6">'[13]2+'!$NO:$NP</definedName>
    <definedName name="м96" localSheetId="12">'[13]2+'!$NO:$NP</definedName>
    <definedName name="м96">'[14]2+'!$NO:$NP</definedName>
    <definedName name="м97" localSheetId="7">'[12]2+'!$NS:$NT</definedName>
    <definedName name="м97" localSheetId="15">'[12]2+'!$NS:$NT</definedName>
    <definedName name="м97" localSheetId="18">'[13]2+'!$NS:$NT</definedName>
    <definedName name="м97" localSheetId="17">'[12]2+'!$NS:$NT</definedName>
    <definedName name="м97" localSheetId="11">'[13]2+'!$NS:$NT</definedName>
    <definedName name="м97" localSheetId="10">'[13]2+'!$NS:$NT</definedName>
    <definedName name="м97" localSheetId="8">'[13]2+'!$NS:$NT</definedName>
    <definedName name="м97" localSheetId="5">'[13]2+'!$NS:$NT</definedName>
    <definedName name="м97" localSheetId="9">'[13]2+'!$NS:$NT</definedName>
    <definedName name="м97" localSheetId="6">'[13]2+'!$NS:$NT</definedName>
    <definedName name="м97" localSheetId="12">'[13]2+'!$NS:$NT</definedName>
    <definedName name="м97">'[14]2+'!$NS:$NT</definedName>
    <definedName name="м98" localSheetId="7">'[12]2+'!$NW:$NX</definedName>
    <definedName name="м98" localSheetId="15">'[12]2+'!$NW:$NX</definedName>
    <definedName name="м98" localSheetId="18">'[13]2+'!$NW:$NX</definedName>
    <definedName name="м98" localSheetId="17">'[12]2+'!$NW:$NX</definedName>
    <definedName name="м98" localSheetId="11">'[13]2+'!$NW:$NX</definedName>
    <definedName name="м98" localSheetId="10">'[13]2+'!$NW:$NX</definedName>
    <definedName name="м98" localSheetId="8">'[13]2+'!$NW:$NX</definedName>
    <definedName name="м98" localSheetId="5">'[13]2+'!$NW:$NX</definedName>
    <definedName name="м98" localSheetId="9">'[13]2+'!$NW:$NX</definedName>
    <definedName name="м98" localSheetId="6">'[13]2+'!$NW:$NX</definedName>
    <definedName name="м98" localSheetId="12">'[13]2+'!$NW:$NX</definedName>
    <definedName name="м98">'[14]2+'!$NW:$NX</definedName>
    <definedName name="м99" localSheetId="7">'[12]2+'!$OA:$OB</definedName>
    <definedName name="м99" localSheetId="15">'[12]2+'!$OA:$OB</definedName>
    <definedName name="м99" localSheetId="18">'[13]2+'!$OA:$OB</definedName>
    <definedName name="м99" localSheetId="17">'[12]2+'!$OA:$OB</definedName>
    <definedName name="м99" localSheetId="11">'[13]2+'!$OA:$OB</definedName>
    <definedName name="м99" localSheetId="10">'[13]2+'!$OA:$OB</definedName>
    <definedName name="м99" localSheetId="8">'[13]2+'!$OA:$OB</definedName>
    <definedName name="м99" localSheetId="5">'[13]2+'!$OA:$OB</definedName>
    <definedName name="м99" localSheetId="9">'[13]2+'!$OA:$OB</definedName>
    <definedName name="м99" localSheetId="6">'[13]2+'!$OA:$OB</definedName>
    <definedName name="м99" localSheetId="12">'[13]2+'!$OA:$OB</definedName>
    <definedName name="м99">'[14]2+'!$OA:$OB</definedName>
    <definedName name="материальные_запасы_основные_средства" localSheetId="28">#REF!</definedName>
    <definedName name="материальные_запасы_основные_средства" localSheetId="7">#REF!</definedName>
    <definedName name="материальные_запасы_основные_средства" localSheetId="14">#REF!</definedName>
    <definedName name="материальные_запасы_основные_средства" localSheetId="15">#REF!</definedName>
    <definedName name="материальные_запасы_основные_средства" localSheetId="25">#REF!</definedName>
    <definedName name="материальные_запасы_основные_средства" localSheetId="18">#REF!</definedName>
    <definedName name="материальные_запасы_основные_средства" localSheetId="17">#REF!</definedName>
    <definedName name="материальные_запасы_основные_средства" localSheetId="29">#REF!</definedName>
    <definedName name="материальные_запасы_основные_средства" localSheetId="11">#REF!</definedName>
    <definedName name="материальные_запасы_основные_средства" localSheetId="10">#REF!</definedName>
    <definedName name="материальные_запасы_основные_средства" localSheetId="8">#REF!</definedName>
    <definedName name="материальные_запасы_основные_средства" localSheetId="16">#REF!</definedName>
    <definedName name="материальные_запасы_основные_средства" localSheetId="5">#REF!</definedName>
    <definedName name="материальные_запасы_основные_средства" localSheetId="9">#REF!</definedName>
    <definedName name="материальные_запасы_основные_средства" localSheetId="31">#REF!</definedName>
    <definedName name="материальные_запасы_основные_средства" localSheetId="6">#REF!</definedName>
    <definedName name="материальные_запасы_основные_средства" localSheetId="26">#REF!</definedName>
    <definedName name="материальные_запасы_основные_средства" localSheetId="13">#REF!</definedName>
    <definedName name="материальные_запасы_основные_средства" localSheetId="12">#REF!</definedName>
    <definedName name="материальные_запасы_основные_средства" localSheetId="27">#REF!</definedName>
    <definedName name="материальные_запасы_основные_средства">#REF!</definedName>
    <definedName name="мирир" localSheetId="28">#REF!</definedName>
    <definedName name="мирир" localSheetId="3">#REF!</definedName>
    <definedName name="мирир" localSheetId="1">#REF!</definedName>
    <definedName name="мирир" localSheetId="7">#REF!</definedName>
    <definedName name="мирир" localSheetId="14">#REF!</definedName>
    <definedName name="мирир" localSheetId="15">#REF!</definedName>
    <definedName name="мирир" localSheetId="25">#REF!</definedName>
    <definedName name="мирир" localSheetId="18">#REF!</definedName>
    <definedName name="мирир" localSheetId="17">#REF!</definedName>
    <definedName name="мирир" localSheetId="29">#REF!</definedName>
    <definedName name="мирир" localSheetId="11">#REF!</definedName>
    <definedName name="мирир" localSheetId="10">#REF!</definedName>
    <definedName name="мирир" localSheetId="8">#REF!</definedName>
    <definedName name="мирир" localSheetId="16">#REF!</definedName>
    <definedName name="мирир" localSheetId="5">#REF!</definedName>
    <definedName name="мирир" localSheetId="9">#REF!</definedName>
    <definedName name="мирир" localSheetId="31">#REF!</definedName>
    <definedName name="мирир" localSheetId="6">#REF!</definedName>
    <definedName name="мирир" localSheetId="26">#REF!</definedName>
    <definedName name="мирир" localSheetId="13">#REF!</definedName>
    <definedName name="мирир" localSheetId="12">#REF!</definedName>
    <definedName name="мирир" localSheetId="27">#REF!</definedName>
    <definedName name="мирир">#REF!</definedName>
    <definedName name="мм0" localSheetId="7">'[12]0-2'!$B:$C</definedName>
    <definedName name="мм0" localSheetId="15">'[12]0-2'!$B:$C</definedName>
    <definedName name="мм0" localSheetId="18">'[13]0-2'!$B:$C</definedName>
    <definedName name="мм0" localSheetId="17">'[12]0-2'!$B:$C</definedName>
    <definedName name="мм0" localSheetId="11">'[13]0-2'!$B:$C</definedName>
    <definedName name="мм0" localSheetId="10">'[13]0-2'!$B:$C</definedName>
    <definedName name="мм0" localSheetId="8">'[13]0-2'!$B:$C</definedName>
    <definedName name="мм0" localSheetId="5">'[13]0-2'!$B:$C</definedName>
    <definedName name="мм0" localSheetId="9">'[13]0-2'!$B:$C</definedName>
    <definedName name="мм0" localSheetId="6">'[13]0-2'!$B:$C</definedName>
    <definedName name="мм0" localSheetId="12">'[13]0-2'!$B:$C</definedName>
    <definedName name="мм0">'[14]0-2'!$B:$C</definedName>
    <definedName name="мм1" localSheetId="7">'[12]0-2'!$F:$G</definedName>
    <definedName name="мм1" localSheetId="15">'[12]0-2'!$F:$G</definedName>
    <definedName name="мм1" localSheetId="18">'[13]0-2'!$F:$G</definedName>
    <definedName name="мм1" localSheetId="17">'[12]0-2'!$F:$G</definedName>
    <definedName name="мм1" localSheetId="11">'[13]0-2'!$F:$G</definedName>
    <definedName name="мм1" localSheetId="10">'[13]0-2'!$F:$G</definedName>
    <definedName name="мм1" localSheetId="8">'[13]0-2'!$F:$G</definedName>
    <definedName name="мм1" localSheetId="5">'[13]0-2'!$F:$G</definedName>
    <definedName name="мм1" localSheetId="9">'[13]0-2'!$F:$G</definedName>
    <definedName name="мм1" localSheetId="6">'[13]0-2'!$F:$G</definedName>
    <definedName name="мм1" localSheetId="12">'[13]0-2'!$F:$G</definedName>
    <definedName name="мм1">'[14]0-2'!$F:$G</definedName>
    <definedName name="мм10" localSheetId="7">'[12]0-2'!$AP:$AQ</definedName>
    <definedName name="мм10" localSheetId="15">'[12]0-2'!$AP:$AQ</definedName>
    <definedName name="мм10" localSheetId="18">'[13]0-2'!$AP:$AQ</definedName>
    <definedName name="мм10" localSheetId="17">'[12]0-2'!$AP:$AQ</definedName>
    <definedName name="мм10" localSheetId="11">'[13]0-2'!$AP:$AQ</definedName>
    <definedName name="мм10" localSheetId="10">'[13]0-2'!$AP:$AQ</definedName>
    <definedName name="мм10" localSheetId="8">'[13]0-2'!$AP:$AQ</definedName>
    <definedName name="мм10" localSheetId="5">'[13]0-2'!$AP:$AQ</definedName>
    <definedName name="мм10" localSheetId="9">'[13]0-2'!$AP:$AQ</definedName>
    <definedName name="мм10" localSheetId="6">'[13]0-2'!$AP:$AQ</definedName>
    <definedName name="мм10" localSheetId="12">'[13]0-2'!$AP:$AQ</definedName>
    <definedName name="мм10">'[14]0-2'!$AP:$AQ</definedName>
    <definedName name="мм11" localSheetId="7">'[12]0-2'!$AT:$AU</definedName>
    <definedName name="мм11" localSheetId="15">'[12]0-2'!$AT:$AU</definedName>
    <definedName name="мм11" localSheetId="18">'[13]0-2'!$AT:$AU</definedName>
    <definedName name="мм11" localSheetId="17">'[12]0-2'!$AT:$AU</definedName>
    <definedName name="мм11" localSheetId="11">'[13]0-2'!$AT:$AU</definedName>
    <definedName name="мм11" localSheetId="10">'[13]0-2'!$AT:$AU</definedName>
    <definedName name="мм11" localSheetId="8">'[13]0-2'!$AT:$AU</definedName>
    <definedName name="мм11" localSheetId="5">'[13]0-2'!$AT:$AU</definedName>
    <definedName name="мм11" localSheetId="9">'[13]0-2'!$AT:$AU</definedName>
    <definedName name="мм11" localSheetId="6">'[13]0-2'!$AT:$AU</definedName>
    <definedName name="мм11" localSheetId="12">'[13]0-2'!$AT:$AU</definedName>
    <definedName name="мм11">'[14]0-2'!$AT:$AU</definedName>
    <definedName name="мм12" localSheetId="7">'[12]0-2'!$AX:$AY</definedName>
    <definedName name="мм12" localSheetId="15">'[12]0-2'!$AX:$AY</definedName>
    <definedName name="мм12" localSheetId="18">'[13]0-2'!$AX:$AY</definedName>
    <definedName name="мм12" localSheetId="17">'[12]0-2'!$AX:$AY</definedName>
    <definedName name="мм12" localSheetId="11">'[13]0-2'!$AX:$AY</definedName>
    <definedName name="мм12" localSheetId="10">'[13]0-2'!$AX:$AY</definedName>
    <definedName name="мм12" localSheetId="8">'[13]0-2'!$AX:$AY</definedName>
    <definedName name="мм12" localSheetId="5">'[13]0-2'!$AX:$AY</definedName>
    <definedName name="мм12" localSheetId="9">'[13]0-2'!$AX:$AY</definedName>
    <definedName name="мм12" localSheetId="6">'[13]0-2'!$AX:$AY</definedName>
    <definedName name="мм12" localSheetId="12">'[13]0-2'!$AX:$AY</definedName>
    <definedName name="мм12">'[14]0-2'!$AX:$AY</definedName>
    <definedName name="мм13" localSheetId="7">'[12]0-2'!$BB:$BC</definedName>
    <definedName name="мм13" localSheetId="15">'[12]0-2'!$BB:$BC</definedName>
    <definedName name="мм13" localSheetId="18">'[13]0-2'!$BB:$BC</definedName>
    <definedName name="мм13" localSheetId="17">'[12]0-2'!$BB:$BC</definedName>
    <definedName name="мм13" localSheetId="11">'[13]0-2'!$BB:$BC</definedName>
    <definedName name="мм13" localSheetId="10">'[13]0-2'!$BB:$BC</definedName>
    <definedName name="мм13" localSheetId="8">'[13]0-2'!$BB:$BC</definedName>
    <definedName name="мм13" localSheetId="5">'[13]0-2'!$BB:$BC</definedName>
    <definedName name="мм13" localSheetId="9">'[13]0-2'!$BB:$BC</definedName>
    <definedName name="мм13" localSheetId="6">'[13]0-2'!$BB:$BC</definedName>
    <definedName name="мм13" localSheetId="12">'[13]0-2'!$BB:$BC</definedName>
    <definedName name="мм13">'[14]0-2'!$BB:$BC</definedName>
    <definedName name="мм14" localSheetId="7">'[12]0-2'!$BF:$BG</definedName>
    <definedName name="мм14" localSheetId="15">'[12]0-2'!$BF:$BG</definedName>
    <definedName name="мм14" localSheetId="18">'[13]0-2'!$BF:$BG</definedName>
    <definedName name="мм14" localSheetId="17">'[12]0-2'!$BF:$BG</definedName>
    <definedName name="мм14" localSheetId="11">'[13]0-2'!$BF:$BG</definedName>
    <definedName name="мм14" localSheetId="10">'[13]0-2'!$BF:$BG</definedName>
    <definedName name="мм14" localSheetId="8">'[13]0-2'!$BF:$BG</definedName>
    <definedName name="мм14" localSheetId="5">'[13]0-2'!$BF:$BG</definedName>
    <definedName name="мм14" localSheetId="9">'[13]0-2'!$BF:$BG</definedName>
    <definedName name="мм14" localSheetId="6">'[13]0-2'!$BF:$BG</definedName>
    <definedName name="мм14" localSheetId="12">'[13]0-2'!$BF:$BG</definedName>
    <definedName name="мм14">'[14]0-2'!$BF:$BG</definedName>
    <definedName name="мм15" localSheetId="7">'[12]0-2'!$BJ:$BK</definedName>
    <definedName name="мм15" localSheetId="15">'[12]0-2'!$BJ:$BK</definedName>
    <definedName name="мм15" localSheetId="18">'[13]0-2'!$BJ:$BK</definedName>
    <definedName name="мм15" localSheetId="17">'[12]0-2'!$BJ:$BK</definedName>
    <definedName name="мм15" localSheetId="11">'[13]0-2'!$BJ:$BK</definedName>
    <definedName name="мм15" localSheetId="10">'[13]0-2'!$BJ:$BK</definedName>
    <definedName name="мм15" localSheetId="8">'[13]0-2'!$BJ:$BK</definedName>
    <definedName name="мм15" localSheetId="5">'[13]0-2'!$BJ:$BK</definedName>
    <definedName name="мм15" localSheetId="9">'[13]0-2'!$BJ:$BK</definedName>
    <definedName name="мм15" localSheetId="6">'[13]0-2'!$BJ:$BK</definedName>
    <definedName name="мм15" localSheetId="12">'[13]0-2'!$BJ:$BK</definedName>
    <definedName name="мм15">'[14]0-2'!$BJ:$BK</definedName>
    <definedName name="мм16" localSheetId="7">'[12]0-2'!$BN:$BO</definedName>
    <definedName name="мм16" localSheetId="15">'[12]0-2'!$BN:$BO</definedName>
    <definedName name="мм16" localSheetId="18">'[13]0-2'!$BN:$BO</definedName>
    <definedName name="мм16" localSheetId="17">'[12]0-2'!$BN:$BO</definedName>
    <definedName name="мм16" localSheetId="11">'[13]0-2'!$BN:$BO</definedName>
    <definedName name="мм16" localSheetId="10">'[13]0-2'!$BN:$BO</definedName>
    <definedName name="мм16" localSheetId="8">'[13]0-2'!$BN:$BO</definedName>
    <definedName name="мм16" localSheetId="5">'[13]0-2'!$BN:$BO</definedName>
    <definedName name="мм16" localSheetId="9">'[13]0-2'!$BN:$BO</definedName>
    <definedName name="мм16" localSheetId="6">'[13]0-2'!$BN:$BO</definedName>
    <definedName name="мм16" localSheetId="12">'[13]0-2'!$BN:$BO</definedName>
    <definedName name="мм16">'[14]0-2'!$BN:$BO</definedName>
    <definedName name="мм17" localSheetId="7">'[12]0-2'!$BR:$BS</definedName>
    <definedName name="мм17" localSheetId="15">'[12]0-2'!$BR:$BS</definedName>
    <definedName name="мм17" localSheetId="18">'[13]0-2'!$BR:$BS</definedName>
    <definedName name="мм17" localSheetId="17">'[12]0-2'!$BR:$BS</definedName>
    <definedName name="мм17" localSheetId="11">'[13]0-2'!$BR:$BS</definedName>
    <definedName name="мм17" localSheetId="10">'[13]0-2'!$BR:$BS</definedName>
    <definedName name="мм17" localSheetId="8">'[13]0-2'!$BR:$BS</definedName>
    <definedName name="мм17" localSheetId="5">'[13]0-2'!$BR:$BS</definedName>
    <definedName name="мм17" localSheetId="9">'[13]0-2'!$BR:$BS</definedName>
    <definedName name="мм17" localSheetId="6">'[13]0-2'!$BR:$BS</definedName>
    <definedName name="мм17" localSheetId="12">'[13]0-2'!$BR:$BS</definedName>
    <definedName name="мм17">'[14]0-2'!$BR:$BS</definedName>
    <definedName name="мм18" localSheetId="7">'[12]0-2'!$BV:$BW</definedName>
    <definedName name="мм18" localSheetId="15">'[12]0-2'!$BV:$BW</definedName>
    <definedName name="мм18" localSheetId="18">'[13]0-2'!$BV:$BW</definedName>
    <definedName name="мм18" localSheetId="17">'[12]0-2'!$BV:$BW</definedName>
    <definedName name="мм18" localSheetId="11">'[13]0-2'!$BV:$BW</definedName>
    <definedName name="мм18" localSheetId="10">'[13]0-2'!$BV:$BW</definedName>
    <definedName name="мм18" localSheetId="8">'[13]0-2'!$BV:$BW</definedName>
    <definedName name="мм18" localSheetId="5">'[13]0-2'!$BV:$BW</definedName>
    <definedName name="мм18" localSheetId="9">'[13]0-2'!$BV:$BW</definedName>
    <definedName name="мм18" localSheetId="6">'[13]0-2'!$BV:$BW</definedName>
    <definedName name="мм18" localSheetId="12">'[13]0-2'!$BV:$BW</definedName>
    <definedName name="мм18">'[14]0-2'!$BV:$BW</definedName>
    <definedName name="мм19" localSheetId="7">'[12]0-2'!$BZ:$CA</definedName>
    <definedName name="мм19" localSheetId="15">'[12]0-2'!$BZ:$CA</definedName>
    <definedName name="мм19" localSheetId="18">'[13]0-2'!$BZ:$CA</definedName>
    <definedName name="мм19" localSheetId="17">'[12]0-2'!$BZ:$CA</definedName>
    <definedName name="мм19" localSheetId="11">'[13]0-2'!$BZ:$CA</definedName>
    <definedName name="мм19" localSheetId="10">'[13]0-2'!$BZ:$CA</definedName>
    <definedName name="мм19" localSheetId="8">'[13]0-2'!$BZ:$CA</definedName>
    <definedName name="мм19" localSheetId="5">'[13]0-2'!$BZ:$CA</definedName>
    <definedName name="мм19" localSheetId="9">'[13]0-2'!$BZ:$CA</definedName>
    <definedName name="мм19" localSheetId="6">'[13]0-2'!$BZ:$CA</definedName>
    <definedName name="мм19" localSheetId="12">'[13]0-2'!$BZ:$CA</definedName>
    <definedName name="мм19">'[14]0-2'!$BZ:$CA</definedName>
    <definedName name="мм2" localSheetId="7">'[12]0-2'!$J:$K</definedName>
    <definedName name="мм2" localSheetId="15">'[12]0-2'!$J:$K</definedName>
    <definedName name="мм2" localSheetId="18">'[13]0-2'!$J:$K</definedName>
    <definedName name="мм2" localSheetId="17">'[12]0-2'!$J:$K</definedName>
    <definedName name="мм2" localSheetId="11">'[13]0-2'!$J:$K</definedName>
    <definedName name="мм2" localSheetId="10">'[13]0-2'!$J:$K</definedName>
    <definedName name="мм2" localSheetId="8">'[13]0-2'!$J:$K</definedName>
    <definedName name="мм2" localSheetId="5">'[13]0-2'!$J:$K</definedName>
    <definedName name="мм2" localSheetId="9">'[13]0-2'!$J:$K</definedName>
    <definedName name="мм2" localSheetId="6">'[13]0-2'!$J:$K</definedName>
    <definedName name="мм2" localSheetId="12">'[13]0-2'!$J:$K</definedName>
    <definedName name="мм2">'[14]0-2'!$J:$K</definedName>
    <definedName name="мм20" localSheetId="7">'[12]0-2'!$CD:$CE</definedName>
    <definedName name="мм20" localSheetId="15">'[12]0-2'!$CD:$CE</definedName>
    <definedName name="мм20" localSheetId="18">'[13]0-2'!$CD:$CE</definedName>
    <definedName name="мм20" localSheetId="17">'[12]0-2'!$CD:$CE</definedName>
    <definedName name="мм20" localSheetId="11">'[13]0-2'!$CD:$CE</definedName>
    <definedName name="мм20" localSheetId="10">'[13]0-2'!$CD:$CE</definedName>
    <definedName name="мм20" localSheetId="8">'[13]0-2'!$CD:$CE</definedName>
    <definedName name="мм20" localSheetId="5">'[13]0-2'!$CD:$CE</definedName>
    <definedName name="мм20" localSheetId="9">'[13]0-2'!$CD:$CE</definedName>
    <definedName name="мм20" localSheetId="6">'[13]0-2'!$CD:$CE</definedName>
    <definedName name="мм20" localSheetId="12">'[13]0-2'!$CD:$CE</definedName>
    <definedName name="мм20">'[14]0-2'!$CD:$CE</definedName>
    <definedName name="мм21" localSheetId="7">'[12]0-2'!$CH:$CI</definedName>
    <definedName name="мм21" localSheetId="15">'[12]0-2'!$CH:$CI</definedName>
    <definedName name="мм21" localSheetId="18">'[13]0-2'!$CH:$CI</definedName>
    <definedName name="мм21" localSheetId="17">'[12]0-2'!$CH:$CI</definedName>
    <definedName name="мм21" localSheetId="11">'[13]0-2'!$CH:$CI</definedName>
    <definedName name="мм21" localSheetId="10">'[13]0-2'!$CH:$CI</definedName>
    <definedName name="мм21" localSheetId="8">'[13]0-2'!$CH:$CI</definedName>
    <definedName name="мм21" localSheetId="5">'[13]0-2'!$CH:$CI</definedName>
    <definedName name="мм21" localSheetId="9">'[13]0-2'!$CH:$CI</definedName>
    <definedName name="мм21" localSheetId="6">'[13]0-2'!$CH:$CI</definedName>
    <definedName name="мм21" localSheetId="12">'[13]0-2'!$CH:$CI</definedName>
    <definedName name="мм21">'[14]0-2'!$CH:$CI</definedName>
    <definedName name="мм22" localSheetId="7">'[12]0-2'!$CL:$CM</definedName>
    <definedName name="мм22" localSheetId="15">'[12]0-2'!$CL:$CM</definedName>
    <definedName name="мм22" localSheetId="18">'[13]0-2'!$CL:$CM</definedName>
    <definedName name="мм22" localSheetId="17">'[12]0-2'!$CL:$CM</definedName>
    <definedName name="мм22" localSheetId="11">'[13]0-2'!$CL:$CM</definedName>
    <definedName name="мм22" localSheetId="10">'[13]0-2'!$CL:$CM</definedName>
    <definedName name="мм22" localSheetId="8">'[13]0-2'!$CL:$CM</definedName>
    <definedName name="мм22" localSheetId="5">'[13]0-2'!$CL:$CM</definedName>
    <definedName name="мм22" localSheetId="9">'[13]0-2'!$CL:$CM</definedName>
    <definedName name="мм22" localSheetId="6">'[13]0-2'!$CL:$CM</definedName>
    <definedName name="мм22" localSheetId="12">'[13]0-2'!$CL:$CM</definedName>
    <definedName name="мм22">'[14]0-2'!$CL:$CM</definedName>
    <definedName name="мм23" localSheetId="7">'[12]0-2'!$CP:$CQ</definedName>
    <definedName name="мм23" localSheetId="15">'[12]0-2'!$CP:$CQ</definedName>
    <definedName name="мм23" localSheetId="18">'[13]0-2'!$CP:$CQ</definedName>
    <definedName name="мм23" localSheetId="17">'[12]0-2'!$CP:$CQ</definedName>
    <definedName name="мм23" localSheetId="11">'[13]0-2'!$CP:$CQ</definedName>
    <definedName name="мм23" localSheetId="10">'[13]0-2'!$CP:$CQ</definedName>
    <definedName name="мм23" localSheetId="8">'[13]0-2'!$CP:$CQ</definedName>
    <definedName name="мм23" localSheetId="5">'[13]0-2'!$CP:$CQ</definedName>
    <definedName name="мм23" localSheetId="9">'[13]0-2'!$CP:$CQ</definedName>
    <definedName name="мм23" localSheetId="6">'[13]0-2'!$CP:$CQ</definedName>
    <definedName name="мм23" localSheetId="12">'[13]0-2'!$CP:$CQ</definedName>
    <definedName name="мм23">'[14]0-2'!$CP:$CQ</definedName>
    <definedName name="мм3" localSheetId="7">'[12]0-2'!$N:$O</definedName>
    <definedName name="мм3" localSheetId="15">'[12]0-2'!$N:$O</definedName>
    <definedName name="мм3" localSheetId="18">'[13]0-2'!$N:$O</definedName>
    <definedName name="мм3" localSheetId="17">'[12]0-2'!$N:$O</definedName>
    <definedName name="мм3" localSheetId="11">'[13]0-2'!$N:$O</definedName>
    <definedName name="мм3" localSheetId="10">'[13]0-2'!$N:$O</definedName>
    <definedName name="мм3" localSheetId="8">'[13]0-2'!$N:$O</definedName>
    <definedName name="мм3" localSheetId="5">'[13]0-2'!$N:$O</definedName>
    <definedName name="мм3" localSheetId="9">'[13]0-2'!$N:$O</definedName>
    <definedName name="мм3" localSheetId="6">'[13]0-2'!$N:$O</definedName>
    <definedName name="мм3" localSheetId="12">'[13]0-2'!$N:$O</definedName>
    <definedName name="мм3">'[14]0-2'!$N:$O</definedName>
    <definedName name="мм4" localSheetId="7">'[12]0-2'!$R:$S</definedName>
    <definedName name="мм4" localSheetId="15">'[12]0-2'!$R:$S</definedName>
    <definedName name="мм4" localSheetId="18">'[13]0-2'!$R:$S</definedName>
    <definedName name="мм4" localSheetId="17">'[12]0-2'!$R:$S</definedName>
    <definedName name="мм4" localSheetId="11">'[13]0-2'!$R:$S</definedName>
    <definedName name="мм4" localSheetId="10">'[13]0-2'!$R:$S</definedName>
    <definedName name="мм4" localSheetId="8">'[13]0-2'!$R:$S</definedName>
    <definedName name="мм4" localSheetId="5">'[13]0-2'!$R:$S</definedName>
    <definedName name="мм4" localSheetId="9">'[13]0-2'!$R:$S</definedName>
    <definedName name="мм4" localSheetId="6">'[13]0-2'!$R:$S</definedName>
    <definedName name="мм4" localSheetId="12">'[13]0-2'!$R:$S</definedName>
    <definedName name="мм4">'[14]0-2'!$R:$S</definedName>
    <definedName name="мм5" localSheetId="7">'[12]0-2'!$V:$W</definedName>
    <definedName name="мм5" localSheetId="15">'[12]0-2'!$V:$W</definedName>
    <definedName name="мм5" localSheetId="18">'[13]0-2'!$V:$W</definedName>
    <definedName name="мм5" localSheetId="17">'[12]0-2'!$V:$W</definedName>
    <definedName name="мм5" localSheetId="11">'[13]0-2'!$V:$W</definedName>
    <definedName name="мм5" localSheetId="10">'[13]0-2'!$V:$W</definedName>
    <definedName name="мм5" localSheetId="8">'[13]0-2'!$V:$W</definedName>
    <definedName name="мм5" localSheetId="5">'[13]0-2'!$V:$W</definedName>
    <definedName name="мм5" localSheetId="9">'[13]0-2'!$V:$W</definedName>
    <definedName name="мм5" localSheetId="6">'[13]0-2'!$V:$W</definedName>
    <definedName name="мм5" localSheetId="12">'[13]0-2'!$V:$W</definedName>
    <definedName name="мм5">'[14]0-2'!$V:$W</definedName>
    <definedName name="мм6" localSheetId="7">'[12]0-2'!$Z:$AA</definedName>
    <definedName name="мм6" localSheetId="15">'[12]0-2'!$Z:$AA</definedName>
    <definedName name="мм6" localSheetId="18">'[13]0-2'!$Z:$AA</definedName>
    <definedName name="мм6" localSheetId="17">'[12]0-2'!$Z:$AA</definedName>
    <definedName name="мм6" localSheetId="11">'[13]0-2'!$Z:$AA</definedName>
    <definedName name="мм6" localSheetId="10">'[13]0-2'!$Z:$AA</definedName>
    <definedName name="мм6" localSheetId="8">'[13]0-2'!$Z:$AA</definedName>
    <definedName name="мм6" localSheetId="5">'[13]0-2'!$Z:$AA</definedName>
    <definedName name="мм6" localSheetId="9">'[13]0-2'!$Z:$AA</definedName>
    <definedName name="мм6" localSheetId="6">'[13]0-2'!$Z:$AA</definedName>
    <definedName name="мм6" localSheetId="12">'[13]0-2'!$Z:$AA</definedName>
    <definedName name="мм6">'[14]0-2'!$Z:$AA</definedName>
    <definedName name="мм7" localSheetId="7">'[12]0-2'!$AD:$AE</definedName>
    <definedName name="мм7" localSheetId="15">'[12]0-2'!$AD:$AE</definedName>
    <definedName name="мм7" localSheetId="18">'[13]0-2'!$AD:$AE</definedName>
    <definedName name="мм7" localSheetId="17">'[12]0-2'!$AD:$AE</definedName>
    <definedName name="мм7" localSheetId="11">'[13]0-2'!$AD:$AE</definedName>
    <definedName name="мм7" localSheetId="10">'[13]0-2'!$AD:$AE</definedName>
    <definedName name="мм7" localSheetId="8">'[13]0-2'!$AD:$AE</definedName>
    <definedName name="мм7" localSheetId="5">'[13]0-2'!$AD:$AE</definedName>
    <definedName name="мм7" localSheetId="9">'[13]0-2'!$AD:$AE</definedName>
    <definedName name="мм7" localSheetId="6">'[13]0-2'!$AD:$AE</definedName>
    <definedName name="мм7" localSheetId="12">'[13]0-2'!$AD:$AE</definedName>
    <definedName name="мм7">'[14]0-2'!$AD:$AE</definedName>
    <definedName name="мм8" localSheetId="7">'[12]0-2'!$AH:$AI</definedName>
    <definedName name="мм8" localSheetId="15">'[12]0-2'!$AH:$AI</definedName>
    <definedName name="мм8" localSheetId="18">'[13]0-2'!$AH:$AI</definedName>
    <definedName name="мм8" localSheetId="17">'[12]0-2'!$AH:$AI</definedName>
    <definedName name="мм8" localSheetId="11">'[13]0-2'!$AH:$AI</definedName>
    <definedName name="мм8" localSheetId="10">'[13]0-2'!$AH:$AI</definedName>
    <definedName name="мм8" localSheetId="8">'[13]0-2'!$AH:$AI</definedName>
    <definedName name="мм8" localSheetId="5">'[13]0-2'!$AH:$AI</definedName>
    <definedName name="мм8" localSheetId="9">'[13]0-2'!$AH:$AI</definedName>
    <definedName name="мм8" localSheetId="6">'[13]0-2'!$AH:$AI</definedName>
    <definedName name="мм8" localSheetId="12">'[13]0-2'!$AH:$AI</definedName>
    <definedName name="мм8">'[14]0-2'!$AH:$AI</definedName>
    <definedName name="мм9" localSheetId="7">'[12]0-2'!$AL:$AM</definedName>
    <definedName name="мм9" localSheetId="15">'[12]0-2'!$AL:$AM</definedName>
    <definedName name="мм9" localSheetId="18">'[13]0-2'!$AL:$AM</definedName>
    <definedName name="мм9" localSheetId="17">'[12]0-2'!$AL:$AM</definedName>
    <definedName name="мм9" localSheetId="11">'[13]0-2'!$AL:$AM</definedName>
    <definedName name="мм9" localSheetId="10">'[13]0-2'!$AL:$AM</definedName>
    <definedName name="мм9" localSheetId="8">'[13]0-2'!$AL:$AM</definedName>
    <definedName name="мм9" localSheetId="5">'[13]0-2'!$AL:$AM</definedName>
    <definedName name="мм9" localSheetId="9">'[13]0-2'!$AL:$AM</definedName>
    <definedName name="мм9" localSheetId="6">'[13]0-2'!$AL:$AM</definedName>
    <definedName name="мм9" localSheetId="12">'[13]0-2'!$AL:$AM</definedName>
    <definedName name="мм9">'[14]0-2'!$AL:$AM</definedName>
    <definedName name="МО" localSheetId="7">'[12]по годам'!#REF!</definedName>
    <definedName name="МО" localSheetId="15">'[12]по годам'!#REF!</definedName>
    <definedName name="МО" localSheetId="18">'[13]по годам'!#REF!</definedName>
    <definedName name="МО" localSheetId="17">'[12]по годам'!#REF!</definedName>
    <definedName name="МО" localSheetId="11">'[13]по годам'!#REF!</definedName>
    <definedName name="МО" localSheetId="10">'[13]по годам'!#REF!</definedName>
    <definedName name="МО" localSheetId="8">'[13]по годам'!#REF!</definedName>
    <definedName name="МО" localSheetId="5">'[13]по годам'!#REF!</definedName>
    <definedName name="МО" localSheetId="9">'[13]по годам'!#REF!</definedName>
    <definedName name="МО" localSheetId="31">'[14]по годам'!#REF!</definedName>
    <definedName name="МО" localSheetId="6">'[13]по годам'!#REF!</definedName>
    <definedName name="МО" localSheetId="12">'[13]по годам'!#REF!</definedName>
    <definedName name="МО">'[14]по годам'!#REF!</definedName>
    <definedName name="Нефтекамск" localSheetId="28">'[15]СВОД КП ПРОЕКТА книж'!$A$4:$DS$109</definedName>
    <definedName name="Нефтекамск" localSheetId="3">'[15]СВОД КП ПРОЕКТА книж'!$A$4:$DS$109</definedName>
    <definedName name="Нефтекамск" localSheetId="7">'[15]СВОД КП ПРОЕКТА книж'!$A$4:$DS$109</definedName>
    <definedName name="Нефтекамск" localSheetId="15">'[15]СВОД КП ПРОЕКТА книж'!$A$4:$DS$109</definedName>
    <definedName name="Нефтекамск" localSheetId="25">'[15]СВОД КП ПРОЕКТА книж'!$A$4:$DS$109</definedName>
    <definedName name="Нефтекамск" localSheetId="18">'[15]СВОД КП ПРОЕКТА книж'!$A$4:$DS$109</definedName>
    <definedName name="Нефтекамск" localSheetId="17">'[15]СВОД КП ПРОЕКТА книж'!$A$4:$DS$109</definedName>
    <definedName name="Нефтекамск" localSheetId="29">'[15]СВОД КП ПРОЕКТА книж'!$A$4:$DS$109</definedName>
    <definedName name="Нефтекамск" localSheetId="11">'[16]СВОД КП ПРОЕКТА книж'!$A$4:$DS$109</definedName>
    <definedName name="Нефтекамск" localSheetId="10">'[15]СВОД КП ПРОЕКТА книж'!$A$4:$DS$109</definedName>
    <definedName name="Нефтекамск" localSheetId="8">'[15]СВОД КП ПРОЕКТА книж'!$A$4:$DS$109</definedName>
    <definedName name="Нефтекамск" localSheetId="16">'[15]СВОД КП ПРОЕКТА книж'!$A$4:$DS$109</definedName>
    <definedName name="Нефтекамск" localSheetId="5">'[15]СВОД КП ПРОЕКТА книж'!$A$4:$DS$109</definedName>
    <definedName name="Нефтекамск" localSheetId="9">'[16]СВОД КП ПРОЕКТА книж'!$A$4:$DS$109</definedName>
    <definedName name="Нефтекамск" localSheetId="31">'[15]СВОД КП ПРОЕКТА книж'!$A$4:$DS$109</definedName>
    <definedName name="Нефтекамск" localSheetId="6">'[15]СВОД КП ПРОЕКТА книж'!$A$4:$DS$109</definedName>
    <definedName name="Нефтекамск" localSheetId="26">'[17]СВОД КП ПРОЕКТА книж'!$A$4:$DS$109</definedName>
    <definedName name="Нефтекамск" localSheetId="13">'[18]СВОД КП ПРОЕКТА книж'!$A$4:$DS$109</definedName>
    <definedName name="Нефтекамск" localSheetId="12">'[15]СВОД КП ПРОЕКТА книж'!$A$4:$DS$109</definedName>
    <definedName name="Нефтекамск" localSheetId="27">'[15]СВОД КП ПРОЕКТА книж'!$A$4:$DS$109</definedName>
    <definedName name="Нефтекамск">'[18]СВОД КП ПРОЕКТА книж'!$A$4:$DS$109</definedName>
    <definedName name="_xlnm.Print_Area" localSheetId="0">'Объемы КС (Пр.6-24)'!$A$1:$R$141</definedName>
    <definedName name="_xlnm.Print_Area" localSheetId="13">'Центры здоровья (Пр.20-23)'!$A$1:$L$28</definedName>
    <definedName name="_xlnm.Print_Area" localSheetId="27">'ЭИ, ПАИ, МГИ(Пр.5-24)'!$A$1:$Y$95</definedName>
    <definedName name="оплата_труда" localSheetId="28">#REF!</definedName>
    <definedName name="оплата_труда" localSheetId="7">#REF!</definedName>
    <definedName name="оплата_труда" localSheetId="14">#REF!</definedName>
    <definedName name="оплата_труда" localSheetId="15">#REF!</definedName>
    <definedName name="оплата_труда" localSheetId="25">#REF!</definedName>
    <definedName name="оплата_труда" localSheetId="18">#REF!</definedName>
    <definedName name="оплата_труда" localSheetId="17">#REF!</definedName>
    <definedName name="оплата_труда" localSheetId="29">#REF!</definedName>
    <definedName name="оплата_труда" localSheetId="11">#REF!</definedName>
    <definedName name="оплата_труда" localSheetId="10">#REF!</definedName>
    <definedName name="оплата_труда" localSheetId="8">#REF!</definedName>
    <definedName name="оплата_труда" localSheetId="16">#REF!</definedName>
    <definedName name="оплата_труда" localSheetId="5">#REF!</definedName>
    <definedName name="оплата_труда" localSheetId="9">#REF!</definedName>
    <definedName name="оплата_труда" localSheetId="31">#REF!</definedName>
    <definedName name="оплата_труда" localSheetId="6">#REF!</definedName>
    <definedName name="оплата_труда" localSheetId="26">#REF!</definedName>
    <definedName name="оплата_труда" localSheetId="13">#REF!</definedName>
    <definedName name="оплата_труда" localSheetId="12">#REF!</definedName>
    <definedName name="оплата_труда" localSheetId="27">#REF!</definedName>
    <definedName name="оплата_труда">#REF!</definedName>
    <definedName name="ппорь" localSheetId="28">#REF!</definedName>
    <definedName name="ппорь" localSheetId="3">#REF!</definedName>
    <definedName name="ппорь" localSheetId="1">#REF!</definedName>
    <definedName name="ппорь" localSheetId="7">#REF!</definedName>
    <definedName name="ппорь" localSheetId="14">#REF!</definedName>
    <definedName name="ппорь" localSheetId="15">#REF!</definedName>
    <definedName name="ппорь" localSheetId="25">#REF!</definedName>
    <definedName name="ппорь" localSheetId="18">#REF!</definedName>
    <definedName name="ппорь" localSheetId="17">#REF!</definedName>
    <definedName name="ппорь" localSheetId="29">#REF!</definedName>
    <definedName name="ппорь" localSheetId="11">#REF!</definedName>
    <definedName name="ппорь" localSheetId="10">#REF!</definedName>
    <definedName name="ппорь" localSheetId="8">#REF!</definedName>
    <definedName name="ппорь" localSheetId="16">#REF!</definedName>
    <definedName name="ппорь" localSheetId="5">#REF!</definedName>
    <definedName name="ппорь" localSheetId="9">#REF!</definedName>
    <definedName name="ппорь" localSheetId="30">#REF!</definedName>
    <definedName name="ппорь" localSheetId="31">#REF!</definedName>
    <definedName name="ппорь" localSheetId="6">#REF!</definedName>
    <definedName name="ппорь" localSheetId="26">#REF!</definedName>
    <definedName name="ппорь" localSheetId="13">#REF!</definedName>
    <definedName name="ппорь" localSheetId="12">#REF!</definedName>
    <definedName name="ппорь" localSheetId="27">#REF!</definedName>
    <definedName name="ппорь">#REF!</definedName>
    <definedName name="Пр.2" localSheetId="28">#REF!</definedName>
    <definedName name="Пр.2" localSheetId="7">#REF!</definedName>
    <definedName name="Пр.2" localSheetId="15">#REF!</definedName>
    <definedName name="Пр.2" localSheetId="25">#REF!</definedName>
    <definedName name="Пр.2" localSheetId="18">#REF!</definedName>
    <definedName name="Пр.2" localSheetId="17">#REF!</definedName>
    <definedName name="Пр.2" localSheetId="29">#REF!</definedName>
    <definedName name="Пр.2" localSheetId="11">#REF!</definedName>
    <definedName name="Пр.2" localSheetId="10">#REF!</definedName>
    <definedName name="Пр.2" localSheetId="8">#REF!</definedName>
    <definedName name="Пр.2" localSheetId="16">#REF!</definedName>
    <definedName name="Пр.2" localSheetId="5">#REF!</definedName>
    <definedName name="Пр.2" localSheetId="9">#REF!</definedName>
    <definedName name="Пр.2" localSheetId="31">#REF!</definedName>
    <definedName name="Пр.2" localSheetId="6">#REF!</definedName>
    <definedName name="Пр.2" localSheetId="26">#REF!</definedName>
    <definedName name="Пр.2" localSheetId="13">#REF!</definedName>
    <definedName name="Пр.2" localSheetId="12">#REF!</definedName>
    <definedName name="Пр.2" localSheetId="27">#REF!</definedName>
    <definedName name="Пр.2">#REF!</definedName>
    <definedName name="пра" localSheetId="28">#REF!</definedName>
    <definedName name="пра" localSheetId="15">#REF!</definedName>
    <definedName name="пра" localSheetId="25">#REF!</definedName>
    <definedName name="пра" localSheetId="18">#REF!</definedName>
    <definedName name="пра" localSheetId="17">#REF!</definedName>
    <definedName name="пра" localSheetId="29">#REF!</definedName>
    <definedName name="пра" localSheetId="11">#REF!</definedName>
    <definedName name="пра" localSheetId="10">#REF!</definedName>
    <definedName name="пра" localSheetId="8">#REF!</definedName>
    <definedName name="пра" localSheetId="16">#REF!</definedName>
    <definedName name="пра" localSheetId="5">#REF!</definedName>
    <definedName name="пра" localSheetId="9">#REF!</definedName>
    <definedName name="пра" localSheetId="31">#REF!</definedName>
    <definedName name="пра" localSheetId="6">#REF!</definedName>
    <definedName name="пра" localSheetId="26">#REF!</definedName>
    <definedName name="пра" localSheetId="13">#REF!</definedName>
    <definedName name="пра" localSheetId="12">#REF!</definedName>
    <definedName name="пра" localSheetId="27">#REF!</definedName>
    <definedName name="пра">#REF!</definedName>
    <definedName name="пэт" localSheetId="28">#REF!</definedName>
    <definedName name="пэт" localSheetId="3">#REF!</definedName>
    <definedName name="пэт" localSheetId="1">#REF!</definedName>
    <definedName name="пэт" localSheetId="14">#REF!</definedName>
    <definedName name="пэт" localSheetId="15">#REF!</definedName>
    <definedName name="пэт" localSheetId="25">#REF!</definedName>
    <definedName name="пэт" localSheetId="18">#REF!</definedName>
    <definedName name="пэт" localSheetId="17">#REF!</definedName>
    <definedName name="пэт" localSheetId="29">#REF!</definedName>
    <definedName name="пэт" localSheetId="11">#REF!</definedName>
    <definedName name="пэт" localSheetId="10">#REF!</definedName>
    <definedName name="пэт" localSheetId="8">#REF!</definedName>
    <definedName name="пэт" localSheetId="16">#REF!</definedName>
    <definedName name="пэт" localSheetId="5">#REF!</definedName>
    <definedName name="пэт" localSheetId="9">#REF!</definedName>
    <definedName name="пэт" localSheetId="31">#REF!</definedName>
    <definedName name="пэт" localSheetId="6">#REF!</definedName>
    <definedName name="пэт" localSheetId="26">#REF!</definedName>
    <definedName name="пэт" localSheetId="13">#REF!</definedName>
    <definedName name="пэт" localSheetId="12">#REF!</definedName>
    <definedName name="пэт" localSheetId="27">#REF!</definedName>
    <definedName name="пэт">#REF!</definedName>
    <definedName name="рд" localSheetId="28">#REF!</definedName>
    <definedName name="рд" localSheetId="15">#REF!</definedName>
    <definedName name="рд" localSheetId="25">#REF!</definedName>
    <definedName name="рд" localSheetId="18">#REF!</definedName>
    <definedName name="рд" localSheetId="17">#REF!</definedName>
    <definedName name="рд" localSheetId="29">#REF!</definedName>
    <definedName name="рд" localSheetId="11">#REF!</definedName>
    <definedName name="рд" localSheetId="10">#REF!</definedName>
    <definedName name="рд" localSheetId="8">#REF!</definedName>
    <definedName name="рд" localSheetId="16">#REF!</definedName>
    <definedName name="рд" localSheetId="5">#REF!</definedName>
    <definedName name="рд" localSheetId="9">#REF!</definedName>
    <definedName name="рд" localSheetId="31">#REF!</definedName>
    <definedName name="рд" localSheetId="6">#REF!</definedName>
    <definedName name="рд" localSheetId="26">#REF!</definedName>
    <definedName name="рд" localSheetId="13">#REF!</definedName>
    <definedName name="рд" localSheetId="12">#REF!</definedName>
    <definedName name="рд" localSheetId="27">#REF!</definedName>
    <definedName name="рд">#REF!</definedName>
    <definedName name="РОБЬ" localSheetId="28">#REF!</definedName>
    <definedName name="РОБЬ" localSheetId="15">#REF!</definedName>
    <definedName name="РОБЬ" localSheetId="25">#REF!</definedName>
    <definedName name="РОБЬ" localSheetId="18">#REF!</definedName>
    <definedName name="РОБЬ" localSheetId="17">#REF!</definedName>
    <definedName name="РОБЬ" localSheetId="29">#REF!</definedName>
    <definedName name="РОБЬ" localSheetId="11">#REF!</definedName>
    <definedName name="РОБЬ" localSheetId="10">#REF!</definedName>
    <definedName name="РОБЬ" localSheetId="8">#REF!</definedName>
    <definedName name="РОБЬ" localSheetId="16">#REF!</definedName>
    <definedName name="РОБЬ" localSheetId="5">#REF!</definedName>
    <definedName name="РОБЬ" localSheetId="9">#REF!</definedName>
    <definedName name="РОБЬ" localSheetId="31">#REF!</definedName>
    <definedName name="РОБЬ" localSheetId="6">#REF!</definedName>
    <definedName name="РОБЬ" localSheetId="26">#REF!</definedName>
    <definedName name="РОБЬ" localSheetId="13">#REF!</definedName>
    <definedName name="РОБЬ" localSheetId="12">#REF!</definedName>
    <definedName name="РОБЬ" localSheetId="27">#REF!</definedName>
    <definedName name="РОБЬ">#REF!</definedName>
    <definedName name="смп" localSheetId="28">#REF!</definedName>
    <definedName name="смп" localSheetId="3">#REF!</definedName>
    <definedName name="смп" localSheetId="1">#REF!</definedName>
    <definedName name="смп" localSheetId="14">#REF!</definedName>
    <definedName name="смп" localSheetId="15">#REF!</definedName>
    <definedName name="смп" localSheetId="25">#REF!</definedName>
    <definedName name="смп" localSheetId="18">#REF!</definedName>
    <definedName name="смп" localSheetId="17">#REF!</definedName>
    <definedName name="смп" localSheetId="29">#REF!</definedName>
    <definedName name="смп" localSheetId="11">#REF!</definedName>
    <definedName name="смп" localSheetId="10">#REF!</definedName>
    <definedName name="смп" localSheetId="8">#REF!</definedName>
    <definedName name="смп" localSheetId="16">#REF!</definedName>
    <definedName name="смп" localSheetId="5">#REF!</definedName>
    <definedName name="смп" localSheetId="9">#REF!</definedName>
    <definedName name="смп" localSheetId="30">#REF!</definedName>
    <definedName name="смп" localSheetId="31">#REF!</definedName>
    <definedName name="смп" localSheetId="6">#REF!</definedName>
    <definedName name="смп" localSheetId="26">#REF!</definedName>
    <definedName name="смп" localSheetId="13">#REF!</definedName>
    <definedName name="смп" localSheetId="12">#REF!</definedName>
    <definedName name="смп" localSheetId="27">#REF!</definedName>
    <definedName name="смп">#REF!</definedName>
    <definedName name="Список" localSheetId="28">#REF!</definedName>
    <definedName name="Список" localSheetId="14">#REF!</definedName>
    <definedName name="Список" localSheetId="15">#REF!</definedName>
    <definedName name="Список" localSheetId="25">#REF!</definedName>
    <definedName name="Список" localSheetId="18">#REF!</definedName>
    <definedName name="Список" localSheetId="17">#REF!</definedName>
    <definedName name="Список" localSheetId="29">#REF!</definedName>
    <definedName name="Список" localSheetId="11">#REF!</definedName>
    <definedName name="Список" localSheetId="10">#REF!</definedName>
    <definedName name="Список" localSheetId="8">#REF!</definedName>
    <definedName name="Список" localSheetId="16">#REF!</definedName>
    <definedName name="Список" localSheetId="5">#REF!</definedName>
    <definedName name="Список" localSheetId="9">#REF!</definedName>
    <definedName name="Список" localSheetId="31">#REF!</definedName>
    <definedName name="Список" localSheetId="6">#REF!</definedName>
    <definedName name="Список" localSheetId="26">#REF!</definedName>
    <definedName name="Список" localSheetId="13">#REF!</definedName>
    <definedName name="Список" localSheetId="12">#REF!</definedName>
    <definedName name="Список" localSheetId="27">#REF!</definedName>
    <definedName name="Список">#REF!</definedName>
    <definedName name="стер" localSheetId="28">#REF!</definedName>
    <definedName name="стер" localSheetId="1">#REF!</definedName>
    <definedName name="стер" localSheetId="14">#REF!</definedName>
    <definedName name="стер" localSheetId="15">#REF!</definedName>
    <definedName name="стер" localSheetId="25">#REF!</definedName>
    <definedName name="стер" localSheetId="18">#REF!</definedName>
    <definedName name="стер" localSheetId="17">#REF!</definedName>
    <definedName name="стер" localSheetId="29">#REF!</definedName>
    <definedName name="стер" localSheetId="11">#REF!</definedName>
    <definedName name="стер" localSheetId="10">#REF!</definedName>
    <definedName name="стер" localSheetId="8">#REF!</definedName>
    <definedName name="стер" localSheetId="16">#REF!</definedName>
    <definedName name="стер" localSheetId="5">#REF!</definedName>
    <definedName name="стер" localSheetId="9">#REF!</definedName>
    <definedName name="стер" localSheetId="31">#REF!</definedName>
    <definedName name="стер" localSheetId="6">#REF!</definedName>
    <definedName name="стер" localSheetId="26">#REF!</definedName>
    <definedName name="стер" localSheetId="13">#REF!</definedName>
    <definedName name="стер" localSheetId="12">#REF!</definedName>
    <definedName name="стер" localSheetId="27">#REF!</definedName>
    <definedName name="стер">#REF!</definedName>
    <definedName name="ттттт" localSheetId="28">#REF!</definedName>
    <definedName name="ттттт" localSheetId="3">#REF!</definedName>
    <definedName name="ттттт" localSheetId="1">#REF!</definedName>
    <definedName name="ттттт" localSheetId="14">#REF!</definedName>
    <definedName name="ттттт" localSheetId="15">#REF!</definedName>
    <definedName name="ттттт" localSheetId="25">#REF!</definedName>
    <definedName name="ттттт" localSheetId="18">#REF!</definedName>
    <definedName name="ттттт" localSheetId="17">#REF!</definedName>
    <definedName name="ттттт" localSheetId="29">#REF!</definedName>
    <definedName name="ттттт" localSheetId="11">#REF!</definedName>
    <definedName name="ттттт" localSheetId="10">#REF!</definedName>
    <definedName name="ттттт" localSheetId="8">#REF!</definedName>
    <definedName name="ттттт" localSheetId="16">#REF!</definedName>
    <definedName name="ттттт" localSheetId="5">#REF!</definedName>
    <definedName name="ттттт" localSheetId="9">#REF!</definedName>
    <definedName name="ттттт" localSheetId="31">#REF!</definedName>
    <definedName name="ттттт" localSheetId="6">#REF!</definedName>
    <definedName name="ттттт" localSheetId="26">#REF!</definedName>
    <definedName name="ттттт" localSheetId="13">#REF!</definedName>
    <definedName name="ттттт" localSheetId="12">#REF!</definedName>
    <definedName name="ттттт" localSheetId="27">#REF!</definedName>
    <definedName name="ттттт">#REF!</definedName>
    <definedName name="ФЗ" localSheetId="28">[5]Данные!$DC$3:$EF$3</definedName>
    <definedName name="ФЗ" localSheetId="3">[5]Данные!$DC$3:$EF$3</definedName>
    <definedName name="ФЗ" localSheetId="1">[6]Данные!$DC$3:$EF$3</definedName>
    <definedName name="ФЗ" localSheetId="14">[6]Данные!$DC$3:$EF$3</definedName>
    <definedName name="ФЗ" localSheetId="15">[5]Данные!$DC$3:$EF$3</definedName>
    <definedName name="ФЗ" localSheetId="25">[6]Данные!$DC$3:$EF$3</definedName>
    <definedName name="ФЗ" localSheetId="0">[6]Данные!$DC$3:$EF$3</definedName>
    <definedName name="ФЗ" localSheetId="29">[5]Данные!$DC$3:$EF$3</definedName>
    <definedName name="ФЗ" localSheetId="11">[7]Данные!$DC$3:$EF$3</definedName>
    <definedName name="ФЗ" localSheetId="10">[5]Данные!$DC$3:$EF$3</definedName>
    <definedName name="ФЗ" localSheetId="8">[5]Данные!$DC$3:$EF$3</definedName>
    <definedName name="ФЗ" localSheetId="16">[5]Данные!$DC$3:$EF$3</definedName>
    <definedName name="ФЗ" localSheetId="5">[7]Данные!$DC$3:$EF$3</definedName>
    <definedName name="ФЗ" localSheetId="9">[8]Данные!$DC$3:$EF$3</definedName>
    <definedName name="ФЗ" localSheetId="30">[6]Данные!$DC$3:$EF$3</definedName>
    <definedName name="ФЗ" localSheetId="31">[5]Данные!$DC$3:$EF$3</definedName>
    <definedName name="ФЗ" localSheetId="6">[5]Данные!$DC$3:$EF$3</definedName>
    <definedName name="ФЗ" localSheetId="26">[6]Данные!$DC$3:$EF$3</definedName>
    <definedName name="ФЗ" localSheetId="13">[7]Данные!$DC$3:$EF$3</definedName>
    <definedName name="ФЗ" localSheetId="12">[5]Данные!$DC$3:$EF$3</definedName>
    <definedName name="ФЗ" localSheetId="27">[5]Данные!$DC$3:$EF$3</definedName>
    <definedName name="ФЗ">[6]Данные!$DC$3:$EF$3</definedName>
    <definedName name="Шт" localSheetId="28">[5]Данные!$AU$3:$BX$3</definedName>
    <definedName name="Шт" localSheetId="3">[5]Данные!$AU$3:$BX$3</definedName>
    <definedName name="Шт" localSheetId="1">[6]Данные!$AU$3:$BX$3</definedName>
    <definedName name="Шт" localSheetId="14">[6]Данные!$AU$3:$BX$3</definedName>
    <definedName name="Шт" localSheetId="15">[5]Данные!$AU$3:$BX$3</definedName>
    <definedName name="Шт" localSheetId="25">[6]Данные!$AU$3:$BX$3</definedName>
    <definedName name="Шт" localSheetId="0">[6]Данные!$AU$3:$BX$3</definedName>
    <definedName name="Шт" localSheetId="29">[5]Данные!$AU$3:$BX$3</definedName>
    <definedName name="Шт" localSheetId="11">[7]Данные!$AU$3:$BX$3</definedName>
    <definedName name="Шт" localSheetId="10">[5]Данные!$AU$3:$BX$3</definedName>
    <definedName name="Шт" localSheetId="8">[5]Данные!$AU$3:$BX$3</definedName>
    <definedName name="Шт" localSheetId="16">[5]Данные!$AU$3:$BX$3</definedName>
    <definedName name="Шт" localSheetId="5">[7]Данные!$AU$3:$BX$3</definedName>
    <definedName name="Шт" localSheetId="9">[8]Данные!$AU$3:$BX$3</definedName>
    <definedName name="Шт" localSheetId="30">[6]Данные!$AU$3:$BX$3</definedName>
    <definedName name="Шт" localSheetId="31">[5]Данные!$AU$3:$BX$3</definedName>
    <definedName name="Шт" localSheetId="6">[5]Данные!$AU$3:$BX$3</definedName>
    <definedName name="Шт" localSheetId="26">[6]Данные!$AU$3:$BX$3</definedName>
    <definedName name="Шт" localSheetId="13">[7]Данные!$AU$3:$BX$3</definedName>
    <definedName name="Шт" localSheetId="12">[5]Данные!$AU$3:$BX$3</definedName>
    <definedName name="Шт" localSheetId="27">[5]Данные!$AU$3:$BX$3</definedName>
    <definedName name="Шт">[6]Данные!$AU$3:$BX$3</definedName>
    <definedName name="ЭКО" localSheetId="28">#REF!</definedName>
    <definedName name="ЭКО" localSheetId="3">#REF!</definedName>
    <definedName name="ЭКО" localSheetId="1">#REF!</definedName>
    <definedName name="ЭКО" localSheetId="7">#REF!</definedName>
    <definedName name="ЭКО" localSheetId="14">#REF!</definedName>
    <definedName name="ЭКО" localSheetId="15">#REF!</definedName>
    <definedName name="ЭКО" localSheetId="25">#REF!</definedName>
    <definedName name="ЭКО" localSheetId="18">#REF!</definedName>
    <definedName name="ЭКО" localSheetId="17">#REF!</definedName>
    <definedName name="ЭКО" localSheetId="29">#REF!</definedName>
    <definedName name="ЭКО" localSheetId="11">#REF!</definedName>
    <definedName name="ЭКО" localSheetId="10">#REF!</definedName>
    <definedName name="ЭКО" localSheetId="8">#REF!</definedName>
    <definedName name="ЭКО" localSheetId="16">#REF!</definedName>
    <definedName name="ЭКО" localSheetId="5">#REF!</definedName>
    <definedName name="ЭКО" localSheetId="9">#REF!</definedName>
    <definedName name="ЭКО" localSheetId="30">#REF!</definedName>
    <definedName name="ЭКО" localSheetId="31">#REF!</definedName>
    <definedName name="ЭКО" localSheetId="6">#REF!</definedName>
    <definedName name="ЭКО" localSheetId="26">#REF!</definedName>
    <definedName name="ЭКО" localSheetId="13">#REF!</definedName>
    <definedName name="ЭКО" localSheetId="12">#REF!</definedName>
    <definedName name="ЭКО" localSheetId="27">#REF!</definedName>
    <definedName name="ЭКО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8" i="25" l="1"/>
  <c r="D143" i="56" l="1"/>
  <c r="E143" i="56"/>
  <c r="T54" i="70" l="1"/>
  <c r="S54" i="70"/>
  <c r="P54" i="70"/>
  <c r="O54" i="70"/>
  <c r="J54" i="70"/>
  <c r="I54" i="70"/>
  <c r="H54" i="70"/>
  <c r="G54" i="70"/>
  <c r="F54" i="70"/>
  <c r="R53" i="70"/>
  <c r="Q53" i="70"/>
  <c r="P53" i="70"/>
  <c r="O53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M38" i="70"/>
  <c r="L38" i="70"/>
  <c r="K38" i="70"/>
  <c r="J38" i="70"/>
  <c r="I38" i="70"/>
  <c r="H38" i="70"/>
  <c r="G38" i="70"/>
  <c r="F38" i="70"/>
  <c r="E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R24" i="70"/>
  <c r="R54" i="70" s="1"/>
  <c r="Q24" i="70"/>
  <c r="D24" i="70" s="1"/>
  <c r="N23" i="70"/>
  <c r="N54" i="70" s="1"/>
  <c r="M23" i="70"/>
  <c r="M54" i="70" s="1"/>
  <c r="E23" i="70"/>
  <c r="E54" i="70" s="1"/>
  <c r="N22" i="70"/>
  <c r="N53" i="70" s="1"/>
  <c r="M22" i="70"/>
  <c r="L22" i="70"/>
  <c r="L21" i="70" s="1"/>
  <c r="K22" i="70"/>
  <c r="K21" i="70" s="1"/>
  <c r="J22" i="70"/>
  <c r="J21" i="70" s="1"/>
  <c r="I22" i="70"/>
  <c r="H22" i="70"/>
  <c r="H21" i="70" s="1"/>
  <c r="G22" i="70"/>
  <c r="G21" i="70" s="1"/>
  <c r="F22" i="70"/>
  <c r="F21" i="70" s="1"/>
  <c r="E22" i="70"/>
  <c r="T21" i="70"/>
  <c r="S21" i="70"/>
  <c r="R21" i="70"/>
  <c r="Q21" i="70"/>
  <c r="P21" i="70"/>
  <c r="O21" i="70"/>
  <c r="I21" i="70"/>
  <c r="D20" i="70"/>
  <c r="D19" i="70"/>
  <c r="T18" i="70"/>
  <c r="S18" i="70"/>
  <c r="R18" i="70"/>
  <c r="Q18" i="70"/>
  <c r="P18" i="70"/>
  <c r="O18" i="70"/>
  <c r="N18" i="70"/>
  <c r="M18" i="70"/>
  <c r="L18" i="70"/>
  <c r="K18" i="70"/>
  <c r="J18" i="70"/>
  <c r="I18" i="70"/>
  <c r="H18" i="70"/>
  <c r="G18" i="70"/>
  <c r="F18" i="70"/>
  <c r="E18" i="70"/>
  <c r="D17" i="70"/>
  <c r="L16" i="70"/>
  <c r="L54" i="70" s="1"/>
  <c r="K16" i="70"/>
  <c r="K54" i="70" s="1"/>
  <c r="D15" i="70"/>
  <c r="D14" i="70"/>
  <c r="D13" i="70"/>
  <c r="D12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0" i="70"/>
  <c r="T9" i="70"/>
  <c r="T53" i="70" s="1"/>
  <c r="S9" i="70"/>
  <c r="S53" i="70" s="1"/>
  <c r="L9" i="70"/>
  <c r="K9" i="70"/>
  <c r="J9" i="70"/>
  <c r="J8" i="70" s="1"/>
  <c r="I9" i="70"/>
  <c r="H9" i="70"/>
  <c r="H8" i="70" s="1"/>
  <c r="G9" i="70"/>
  <c r="F9" i="70"/>
  <c r="T8" i="70"/>
  <c r="R8" i="70"/>
  <c r="Q8" i="70"/>
  <c r="P8" i="70"/>
  <c r="O8" i="70"/>
  <c r="N8" i="70"/>
  <c r="M8" i="70"/>
  <c r="K8" i="70"/>
  <c r="I8" i="70"/>
  <c r="E8" i="70"/>
  <c r="K52" i="70" l="1"/>
  <c r="D38" i="70"/>
  <c r="L53" i="70"/>
  <c r="S8" i="70"/>
  <c r="S52" i="70" s="1"/>
  <c r="T52" i="70"/>
  <c r="D18" i="70"/>
  <c r="D11" i="70"/>
  <c r="O52" i="70"/>
  <c r="N21" i="70"/>
  <c r="N52" i="70" s="1"/>
  <c r="L8" i="70"/>
  <c r="L52" i="70" s="1"/>
  <c r="F53" i="70"/>
  <c r="G53" i="70"/>
  <c r="M53" i="70"/>
  <c r="F8" i="70"/>
  <c r="F52" i="70" s="1"/>
  <c r="P52" i="70"/>
  <c r="I53" i="70"/>
  <c r="D22" i="70"/>
  <c r="G8" i="70"/>
  <c r="G52" i="70" s="1"/>
  <c r="Q52" i="70"/>
  <c r="J52" i="70"/>
  <c r="I52" i="70"/>
  <c r="R52" i="70"/>
  <c r="K53" i="70"/>
  <c r="H52" i="70"/>
  <c r="D16" i="70"/>
  <c r="H53" i="70"/>
  <c r="D9" i="70"/>
  <c r="D23" i="70"/>
  <c r="J53" i="70"/>
  <c r="Q54" i="70"/>
  <c r="E21" i="70"/>
  <c r="M21" i="70"/>
  <c r="M52" i="70" s="1"/>
  <c r="E53" i="70"/>
  <c r="D8" i="70" l="1"/>
  <c r="D53" i="70"/>
  <c r="D21" i="70"/>
  <c r="E52" i="70"/>
  <c r="D54" i="70"/>
  <c r="G142" i="7"/>
  <c r="D142" i="7"/>
  <c r="F142" i="7" s="1"/>
  <c r="G136" i="7"/>
  <c r="G7" i="7" s="1"/>
  <c r="G5" i="7" s="1"/>
  <c r="D136" i="7"/>
  <c r="F136" i="7" s="1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57" i="7"/>
  <c r="F56" i="7"/>
  <c r="F55" i="7"/>
  <c r="F54" i="7"/>
  <c r="F53" i="7"/>
  <c r="F52" i="7"/>
  <c r="F51" i="7"/>
  <c r="F50" i="7"/>
  <c r="F49" i="7"/>
  <c r="F48" i="7"/>
  <c r="F45" i="7"/>
  <c r="F44" i="7"/>
  <c r="F43" i="7"/>
  <c r="F42" i="7"/>
  <c r="F41" i="7"/>
  <c r="F40" i="7"/>
  <c r="F38" i="7"/>
  <c r="F32" i="7"/>
  <c r="F27" i="7"/>
  <c r="F26" i="7"/>
  <c r="F25" i="7"/>
  <c r="F23" i="7"/>
  <c r="F22" i="7"/>
  <c r="F21" i="7"/>
  <c r="F19" i="7"/>
  <c r="F18" i="7"/>
  <c r="F17" i="7"/>
  <c r="F16" i="7"/>
  <c r="F15" i="7"/>
  <c r="F14" i="7"/>
  <c r="F13" i="7"/>
  <c r="F12" i="7"/>
  <c r="F11" i="7"/>
  <c r="F9" i="7"/>
  <c r="F8" i="7"/>
  <c r="K7" i="7"/>
  <c r="K5" i="7" s="1"/>
  <c r="J7" i="7"/>
  <c r="J5" i="7" s="1"/>
  <c r="I7" i="7"/>
  <c r="I5" i="7" s="1"/>
  <c r="H7" i="7"/>
  <c r="H5" i="7" s="1"/>
  <c r="E7" i="7"/>
  <c r="E5" i="7" s="1"/>
  <c r="E136" i="9"/>
  <c r="D136" i="9"/>
  <c r="E107" i="9"/>
  <c r="E100" i="9"/>
  <c r="E99" i="9"/>
  <c r="E97" i="9"/>
  <c r="E93" i="9"/>
  <c r="E54" i="9"/>
  <c r="E50" i="9"/>
  <c r="E49" i="9"/>
  <c r="E45" i="9"/>
  <c r="D45" i="9"/>
  <c r="E44" i="9"/>
  <c r="D44" i="9"/>
  <c r="E43" i="9"/>
  <c r="E42" i="9"/>
  <c r="E40" i="9"/>
  <c r="E38" i="9"/>
  <c r="E37" i="9"/>
  <c r="E32" i="9"/>
  <c r="E26" i="9"/>
  <c r="E25" i="9"/>
  <c r="E22" i="9"/>
  <c r="E21" i="9"/>
  <c r="E19" i="9"/>
  <c r="E15" i="9"/>
  <c r="E12" i="9"/>
  <c r="E11" i="9"/>
  <c r="I7" i="9"/>
  <c r="I5" i="9" s="1"/>
  <c r="H7" i="9"/>
  <c r="H5" i="9" s="1"/>
  <c r="G7" i="9"/>
  <c r="G5" i="9" s="1"/>
  <c r="F7" i="9"/>
  <c r="F5" i="9" s="1"/>
  <c r="D52" i="70" l="1"/>
  <c r="E7" i="9"/>
  <c r="E5" i="9" s="1"/>
  <c r="D7" i="9"/>
  <c r="D5" i="9" s="1"/>
  <c r="D7" i="7"/>
  <c r="D5" i="7" s="1"/>
  <c r="F7" i="7"/>
  <c r="F5" i="7" s="1"/>
  <c r="AD105" i="24"/>
  <c r="AD104" i="24"/>
  <c r="AD103" i="24"/>
  <c r="AD102" i="24"/>
  <c r="AD101" i="24"/>
  <c r="AD100" i="24"/>
  <c r="AD99" i="24"/>
  <c r="AD98" i="24"/>
  <c r="AD97" i="24"/>
  <c r="AD96" i="24"/>
  <c r="AD95" i="24"/>
  <c r="AD94" i="24"/>
  <c r="AD93" i="24"/>
  <c r="AD92" i="24"/>
  <c r="AD91" i="24"/>
  <c r="AD90" i="24"/>
  <c r="AD89" i="24"/>
  <c r="AD88" i="24"/>
  <c r="AD87" i="24"/>
  <c r="AD86" i="24"/>
  <c r="AD85" i="24"/>
  <c r="AD84" i="24"/>
  <c r="AD83" i="24"/>
  <c r="AD82" i="24"/>
  <c r="AD81" i="24"/>
  <c r="AD80" i="24"/>
  <c r="AD79" i="24"/>
  <c r="AD78" i="24"/>
  <c r="AD77" i="24"/>
  <c r="AD76" i="24"/>
  <c r="AD75" i="24"/>
  <c r="AD74" i="24"/>
  <c r="AD73" i="24"/>
  <c r="AD72" i="24"/>
  <c r="AD71" i="24"/>
  <c r="AD70" i="24"/>
  <c r="AD69" i="24"/>
  <c r="AD68" i="24"/>
  <c r="AD67" i="24"/>
  <c r="AD66" i="24"/>
  <c r="AD65" i="24"/>
  <c r="AD64" i="24"/>
  <c r="AD63" i="24"/>
  <c r="AD62" i="24"/>
  <c r="AD61" i="24"/>
  <c r="AD60" i="24"/>
  <c r="AD59" i="24"/>
  <c r="AD58" i="24"/>
  <c r="AD57" i="24"/>
  <c r="AD56" i="24"/>
  <c r="AD55" i="24"/>
  <c r="AD54" i="24"/>
  <c r="AD53" i="24"/>
  <c r="AD52" i="24"/>
  <c r="AD51" i="24"/>
  <c r="AD50" i="24"/>
  <c r="AD49" i="24"/>
  <c r="AD48" i="24"/>
  <c r="AD47" i="24"/>
  <c r="AD46" i="24"/>
  <c r="AD45" i="24"/>
  <c r="AD44" i="24"/>
  <c r="AD43" i="24"/>
  <c r="AD42" i="24"/>
  <c r="AD41" i="24"/>
  <c r="AD40" i="24"/>
  <c r="AD39" i="24"/>
  <c r="AD38" i="24"/>
  <c r="AD37" i="24"/>
  <c r="AD36" i="24"/>
  <c r="AD35" i="24"/>
  <c r="AD34" i="24"/>
  <c r="AD33" i="24"/>
  <c r="AD32" i="24"/>
  <c r="AD31" i="24"/>
  <c r="AD30" i="24"/>
  <c r="AD29" i="24"/>
  <c r="AD28" i="24"/>
  <c r="AD27" i="24"/>
  <c r="AD26" i="24"/>
  <c r="AD25" i="24"/>
  <c r="AD24" i="24"/>
  <c r="AD23" i="24"/>
  <c r="AD22" i="24"/>
  <c r="AD21" i="24"/>
  <c r="AD20" i="24"/>
  <c r="AD19" i="24"/>
  <c r="AD18" i="24"/>
  <c r="AD17" i="24"/>
  <c r="AD16" i="24"/>
  <c r="AD15" i="24"/>
  <c r="AD14" i="24"/>
  <c r="AD13" i="24"/>
  <c r="AD12" i="24"/>
  <c r="AD11" i="24"/>
  <c r="AD10" i="24"/>
  <c r="AD9" i="24"/>
  <c r="AD8" i="24"/>
  <c r="AD7" i="24"/>
  <c r="AD6" i="24"/>
  <c r="AD5" i="24"/>
  <c r="G146" i="68" l="1"/>
  <c r="D146" i="68" s="1"/>
  <c r="G145" i="68"/>
  <c r="D145" i="68" s="1"/>
  <c r="G144" i="68"/>
  <c r="D144" i="68" s="1"/>
  <c r="G143" i="68"/>
  <c r="D143" i="68" s="1"/>
  <c r="G142" i="68"/>
  <c r="D142" i="68" s="1"/>
  <c r="G141" i="68"/>
  <c r="D141" i="68" s="1"/>
  <c r="G140" i="68"/>
  <c r="D140" i="68" s="1"/>
  <c r="G139" i="68"/>
  <c r="D139" i="68" s="1"/>
  <c r="G138" i="68"/>
  <c r="D138" i="68" s="1"/>
  <c r="G137" i="68"/>
  <c r="D137" i="68" s="1"/>
  <c r="G136" i="68"/>
  <c r="D136" i="68" s="1"/>
  <c r="G135" i="68"/>
  <c r="D135" i="68" s="1"/>
  <c r="G134" i="68"/>
  <c r="D134" i="68" s="1"/>
  <c r="G133" i="68"/>
  <c r="D133" i="68" s="1"/>
  <c r="G132" i="68"/>
  <c r="D132" i="68" s="1"/>
  <c r="G131" i="68"/>
  <c r="D131" i="68" s="1"/>
  <c r="G130" i="68"/>
  <c r="D130" i="68" s="1"/>
  <c r="G129" i="68"/>
  <c r="D129" i="68" s="1"/>
  <c r="G128" i="68"/>
  <c r="D128" i="68" s="1"/>
  <c r="G127" i="68"/>
  <c r="D127" i="68" s="1"/>
  <c r="G126" i="68"/>
  <c r="D126" i="68" s="1"/>
  <c r="G125" i="68"/>
  <c r="D125" i="68" s="1"/>
  <c r="G124" i="68"/>
  <c r="D124" i="68"/>
  <c r="G123" i="68"/>
  <c r="D123" i="68" s="1"/>
  <c r="G122" i="68"/>
  <c r="D122" i="68" s="1"/>
  <c r="G121" i="68"/>
  <c r="D121" i="68" s="1"/>
  <c r="G120" i="68"/>
  <c r="D120" i="68" s="1"/>
  <c r="G119" i="68"/>
  <c r="D119" i="68" s="1"/>
  <c r="G118" i="68"/>
  <c r="D118" i="68" s="1"/>
  <c r="G117" i="68"/>
  <c r="D117" i="68" s="1"/>
  <c r="G116" i="68"/>
  <c r="D116" i="68" s="1"/>
  <c r="G115" i="68"/>
  <c r="D115" i="68" s="1"/>
  <c r="G114" i="68"/>
  <c r="D114" i="68" s="1"/>
  <c r="G113" i="68"/>
  <c r="D113" i="68" s="1"/>
  <c r="G112" i="68"/>
  <c r="D112" i="68" s="1"/>
  <c r="G111" i="68"/>
  <c r="D111" i="68" s="1"/>
  <c r="G110" i="68"/>
  <c r="D110" i="68" s="1"/>
  <c r="G109" i="68"/>
  <c r="D109" i="68" s="1"/>
  <c r="G108" i="68"/>
  <c r="D108" i="68" s="1"/>
  <c r="G107" i="68"/>
  <c r="D107" i="68" s="1"/>
  <c r="G106" i="68"/>
  <c r="D106" i="68" s="1"/>
  <c r="G105" i="68"/>
  <c r="D105" i="68" s="1"/>
  <c r="G104" i="68"/>
  <c r="D104" i="68" s="1"/>
  <c r="G103" i="68"/>
  <c r="D103" i="68" s="1"/>
  <c r="G102" i="68"/>
  <c r="D102" i="68" s="1"/>
  <c r="G101" i="68"/>
  <c r="D101" i="68" s="1"/>
  <c r="G100" i="68"/>
  <c r="D100" i="68" s="1"/>
  <c r="G99" i="68"/>
  <c r="D99" i="68" s="1"/>
  <c r="G98" i="68"/>
  <c r="D98" i="68" s="1"/>
  <c r="G97" i="68"/>
  <c r="D97" i="68" s="1"/>
  <c r="G96" i="68"/>
  <c r="D96" i="68" s="1"/>
  <c r="G95" i="68"/>
  <c r="D95" i="68" s="1"/>
  <c r="G94" i="68"/>
  <c r="D94" i="68" s="1"/>
  <c r="G93" i="68"/>
  <c r="D93" i="68" s="1"/>
  <c r="G92" i="68"/>
  <c r="D92" i="68" s="1"/>
  <c r="G91" i="68"/>
  <c r="D91" i="68" s="1"/>
  <c r="G90" i="68"/>
  <c r="D90" i="68" s="1"/>
  <c r="G89" i="68"/>
  <c r="D89" i="68" s="1"/>
  <c r="G88" i="68"/>
  <c r="D88" i="68" s="1"/>
  <c r="G87" i="68"/>
  <c r="D87" i="68" s="1"/>
  <c r="G86" i="68"/>
  <c r="D86" i="68" s="1"/>
  <c r="G85" i="68"/>
  <c r="D85" i="68" s="1"/>
  <c r="G84" i="68"/>
  <c r="D84" i="68" s="1"/>
  <c r="G83" i="68"/>
  <c r="D83" i="68" s="1"/>
  <c r="G82" i="68"/>
  <c r="D82" i="68" s="1"/>
  <c r="G81" i="68"/>
  <c r="D81" i="68" s="1"/>
  <c r="G80" i="68"/>
  <c r="D80" i="68" s="1"/>
  <c r="G79" i="68"/>
  <c r="D79" i="68" s="1"/>
  <c r="G78" i="68"/>
  <c r="D78" i="68" s="1"/>
  <c r="G77" i="68"/>
  <c r="D77" i="68" s="1"/>
  <c r="G76" i="68"/>
  <c r="D76" i="68" s="1"/>
  <c r="G75" i="68"/>
  <c r="D75" i="68" s="1"/>
  <c r="G74" i="68"/>
  <c r="D74" i="68" s="1"/>
  <c r="G73" i="68"/>
  <c r="D73" i="68" s="1"/>
  <c r="G72" i="68"/>
  <c r="D72" i="68" s="1"/>
  <c r="G71" i="68"/>
  <c r="D71" i="68" s="1"/>
  <c r="G70" i="68"/>
  <c r="D70" i="68" s="1"/>
  <c r="G69" i="68"/>
  <c r="D69" i="68" s="1"/>
  <c r="G68" i="68"/>
  <c r="D68" i="68" s="1"/>
  <c r="G67" i="68"/>
  <c r="D67" i="68" s="1"/>
  <c r="G66" i="68"/>
  <c r="D66" i="68" s="1"/>
  <c r="G65" i="68"/>
  <c r="D65" i="68" s="1"/>
  <c r="G64" i="68"/>
  <c r="D64" i="68"/>
  <c r="G63" i="68"/>
  <c r="D63" i="68" s="1"/>
  <c r="G62" i="68"/>
  <c r="D62" i="68" s="1"/>
  <c r="G61" i="68"/>
  <c r="D61" i="68" s="1"/>
  <c r="G60" i="68"/>
  <c r="D60" i="68" s="1"/>
  <c r="G59" i="68"/>
  <c r="D59" i="68" s="1"/>
  <c r="G58" i="68"/>
  <c r="D58" i="68" s="1"/>
  <c r="G57" i="68"/>
  <c r="D57" i="68" s="1"/>
  <c r="G56" i="68"/>
  <c r="D56" i="68" s="1"/>
  <c r="G55" i="68"/>
  <c r="D55" i="68" s="1"/>
  <c r="G54" i="68"/>
  <c r="D54" i="68" s="1"/>
  <c r="G53" i="68"/>
  <c r="D53" i="68" s="1"/>
  <c r="G52" i="68"/>
  <c r="D52" i="68"/>
  <c r="G51" i="68"/>
  <c r="D51" i="68" s="1"/>
  <c r="G50" i="68"/>
  <c r="D50" i="68" s="1"/>
  <c r="G49" i="68"/>
  <c r="D49" i="68" s="1"/>
  <c r="G48" i="68"/>
  <c r="D48" i="68" s="1"/>
  <c r="G47" i="68"/>
  <c r="D47" i="68" s="1"/>
  <c r="G46" i="68"/>
  <c r="D46" i="68" s="1"/>
  <c r="G45" i="68"/>
  <c r="D45" i="68" s="1"/>
  <c r="G44" i="68"/>
  <c r="D44" i="68" s="1"/>
  <c r="G43" i="68"/>
  <c r="D43" i="68" s="1"/>
  <c r="G42" i="68"/>
  <c r="D42" i="68" s="1"/>
  <c r="G41" i="68"/>
  <c r="D41" i="68" s="1"/>
  <c r="G40" i="68"/>
  <c r="D40" i="68" s="1"/>
  <c r="G39" i="68"/>
  <c r="D39" i="68" s="1"/>
  <c r="G38" i="68"/>
  <c r="D38" i="68" s="1"/>
  <c r="G37" i="68"/>
  <c r="D37" i="68" s="1"/>
  <c r="G36" i="68"/>
  <c r="D36" i="68" s="1"/>
  <c r="G35" i="68"/>
  <c r="D35" i="68" s="1"/>
  <c r="G34" i="68"/>
  <c r="D34" i="68" s="1"/>
  <c r="G33" i="68"/>
  <c r="D33" i="68" s="1"/>
  <c r="G32" i="68"/>
  <c r="D32" i="68" s="1"/>
  <c r="G31" i="68"/>
  <c r="D31" i="68" s="1"/>
  <c r="G30" i="68"/>
  <c r="D30" i="68" s="1"/>
  <c r="G29" i="68"/>
  <c r="D29" i="68" s="1"/>
  <c r="G28" i="68"/>
  <c r="D28" i="68" s="1"/>
  <c r="G27" i="68"/>
  <c r="D27" i="68" s="1"/>
  <c r="G26" i="68"/>
  <c r="D26" i="68" s="1"/>
  <c r="G25" i="68"/>
  <c r="D25" i="68" s="1"/>
  <c r="G24" i="68"/>
  <c r="D24" i="68" s="1"/>
  <c r="G23" i="68"/>
  <c r="D23" i="68" s="1"/>
  <c r="G22" i="68"/>
  <c r="D22" i="68" s="1"/>
  <c r="G21" i="68"/>
  <c r="D21" i="68" s="1"/>
  <c r="G20" i="68"/>
  <c r="D20" i="68" s="1"/>
  <c r="G19" i="68"/>
  <c r="D19" i="68" s="1"/>
  <c r="G18" i="68"/>
  <c r="D18" i="68" s="1"/>
  <c r="G17" i="68"/>
  <c r="D17" i="68" s="1"/>
  <c r="G16" i="68"/>
  <c r="D16" i="68" s="1"/>
  <c r="G15" i="68"/>
  <c r="D15" i="68" s="1"/>
  <c r="G14" i="68"/>
  <c r="D14" i="68" s="1"/>
  <c r="G13" i="68"/>
  <c r="D13" i="68" s="1"/>
  <c r="G12" i="68"/>
  <c r="D12" i="68" s="1"/>
  <c r="G11" i="68"/>
  <c r="D11" i="68" s="1"/>
  <c r="G10" i="68"/>
  <c r="D10" i="68" s="1"/>
  <c r="G9" i="68"/>
  <c r="D9" i="68" s="1"/>
  <c r="D8" i="68"/>
  <c r="F7" i="68"/>
  <c r="F149" i="68" s="1"/>
  <c r="E7" i="68"/>
  <c r="E149" i="68" s="1"/>
  <c r="D7" i="68" l="1"/>
  <c r="D149" i="68" s="1"/>
  <c r="G7" i="68"/>
  <c r="G149" i="68" s="1"/>
  <c r="H146" i="67" l="1"/>
  <c r="E146" i="67"/>
  <c r="H145" i="67"/>
  <c r="E145" i="67"/>
  <c r="H144" i="67"/>
  <c r="E144" i="67"/>
  <c r="H143" i="67"/>
  <c r="E143" i="67"/>
  <c r="H142" i="67"/>
  <c r="E142" i="67"/>
  <c r="H141" i="67"/>
  <c r="E141" i="67"/>
  <c r="D141" i="67" s="1"/>
  <c r="H140" i="67"/>
  <c r="E140" i="67"/>
  <c r="H139" i="67"/>
  <c r="E139" i="67"/>
  <c r="H138" i="67"/>
  <c r="E138" i="67"/>
  <c r="D138" i="67" s="1"/>
  <c r="H137" i="67"/>
  <c r="E137" i="67"/>
  <c r="H136" i="67"/>
  <c r="E136" i="67"/>
  <c r="H135" i="67"/>
  <c r="E135" i="67"/>
  <c r="H134" i="67"/>
  <c r="E134" i="67"/>
  <c r="H133" i="67"/>
  <c r="E133" i="67"/>
  <c r="H132" i="67"/>
  <c r="E132" i="67"/>
  <c r="H131" i="67"/>
  <c r="E131" i="67"/>
  <c r="H130" i="67"/>
  <c r="E130" i="67"/>
  <c r="H129" i="67"/>
  <c r="E129" i="67"/>
  <c r="H128" i="67"/>
  <c r="E128" i="67"/>
  <c r="H127" i="67"/>
  <c r="E127" i="67"/>
  <c r="H126" i="67"/>
  <c r="E126" i="67"/>
  <c r="D126" i="67" s="1"/>
  <c r="H125" i="67"/>
  <c r="E125" i="67"/>
  <c r="D125" i="67" s="1"/>
  <c r="H124" i="67"/>
  <c r="E124" i="67"/>
  <c r="H123" i="67"/>
  <c r="D123" i="67" s="1"/>
  <c r="E123" i="67"/>
  <c r="H122" i="67"/>
  <c r="E122" i="67"/>
  <c r="H121" i="67"/>
  <c r="E121" i="67"/>
  <c r="D121" i="67" s="1"/>
  <c r="H120" i="67"/>
  <c r="E120" i="67"/>
  <c r="H119" i="67"/>
  <c r="E119" i="67"/>
  <c r="H118" i="67"/>
  <c r="E118" i="67"/>
  <c r="D118" i="67" s="1"/>
  <c r="H117" i="67"/>
  <c r="E117" i="67"/>
  <c r="H116" i="67"/>
  <c r="E116" i="67"/>
  <c r="H115" i="67"/>
  <c r="E115" i="67"/>
  <c r="H114" i="67"/>
  <c r="E114" i="67"/>
  <c r="H113" i="67"/>
  <c r="E113" i="67"/>
  <c r="H112" i="67"/>
  <c r="E112" i="67"/>
  <c r="H111" i="67"/>
  <c r="D111" i="67" s="1"/>
  <c r="E111" i="67"/>
  <c r="H110" i="67"/>
  <c r="E110" i="67"/>
  <c r="H109" i="67"/>
  <c r="E109" i="67"/>
  <c r="D109" i="67" s="1"/>
  <c r="H108" i="67"/>
  <c r="E108" i="67"/>
  <c r="H107" i="67"/>
  <c r="E107" i="67"/>
  <c r="H106" i="67"/>
  <c r="E106" i="67"/>
  <c r="H105" i="67"/>
  <c r="E105" i="67"/>
  <c r="H104" i="67"/>
  <c r="E104" i="67"/>
  <c r="H103" i="67"/>
  <c r="E103" i="67"/>
  <c r="H102" i="67"/>
  <c r="E102" i="67"/>
  <c r="D102" i="67" s="1"/>
  <c r="H101" i="67"/>
  <c r="E101" i="67"/>
  <c r="D101" i="67" s="1"/>
  <c r="H100" i="67"/>
  <c r="E100" i="67"/>
  <c r="H99" i="67"/>
  <c r="E99" i="67"/>
  <c r="H98" i="67"/>
  <c r="E98" i="67"/>
  <c r="H97" i="67"/>
  <c r="E97" i="67"/>
  <c r="H96" i="67"/>
  <c r="E96" i="67"/>
  <c r="H95" i="67"/>
  <c r="E95" i="67"/>
  <c r="H94" i="67"/>
  <c r="E94" i="67"/>
  <c r="H93" i="67"/>
  <c r="E93" i="67"/>
  <c r="H92" i="67"/>
  <c r="D92" i="67" s="1"/>
  <c r="E92" i="67"/>
  <c r="H91" i="67"/>
  <c r="E91" i="67"/>
  <c r="H90" i="67"/>
  <c r="E90" i="67"/>
  <c r="D90" i="67" s="1"/>
  <c r="H89" i="67"/>
  <c r="E89" i="67"/>
  <c r="H88" i="67"/>
  <c r="E88" i="67"/>
  <c r="H87" i="67"/>
  <c r="E87" i="67"/>
  <c r="H86" i="67"/>
  <c r="E86" i="67"/>
  <c r="H85" i="67"/>
  <c r="E85" i="67"/>
  <c r="H84" i="67"/>
  <c r="E84" i="67"/>
  <c r="H83" i="67"/>
  <c r="E83" i="67"/>
  <c r="H82" i="67"/>
  <c r="E82" i="67"/>
  <c r="H81" i="67"/>
  <c r="D81" i="67" s="1"/>
  <c r="E81" i="67"/>
  <c r="H80" i="67"/>
  <c r="E80" i="67"/>
  <c r="H79" i="67"/>
  <c r="E79" i="67"/>
  <c r="H78" i="67"/>
  <c r="E78" i="67"/>
  <c r="H77" i="67"/>
  <c r="E77" i="67"/>
  <c r="H76" i="67"/>
  <c r="E76" i="67"/>
  <c r="H75" i="67"/>
  <c r="E75" i="67"/>
  <c r="H74" i="67"/>
  <c r="E74" i="67"/>
  <c r="H73" i="67"/>
  <c r="E73" i="67"/>
  <c r="H72" i="67"/>
  <c r="E72" i="67"/>
  <c r="H71" i="67"/>
  <c r="E71" i="67"/>
  <c r="H70" i="67"/>
  <c r="E70" i="67"/>
  <c r="H69" i="67"/>
  <c r="E69" i="67"/>
  <c r="H68" i="67"/>
  <c r="E68" i="67"/>
  <c r="H67" i="67"/>
  <c r="E67" i="67"/>
  <c r="H66" i="67"/>
  <c r="E66" i="67"/>
  <c r="H65" i="67"/>
  <c r="E65" i="67"/>
  <c r="D65" i="67" s="1"/>
  <c r="H64" i="67"/>
  <c r="E64" i="67"/>
  <c r="H63" i="67"/>
  <c r="D63" i="67" s="1"/>
  <c r="E63" i="67"/>
  <c r="H62" i="67"/>
  <c r="E62" i="67"/>
  <c r="H61" i="67"/>
  <c r="E61" i="67"/>
  <c r="H60" i="67"/>
  <c r="E60" i="67"/>
  <c r="H59" i="67"/>
  <c r="E59" i="67"/>
  <c r="H58" i="67"/>
  <c r="E58" i="67"/>
  <c r="H57" i="67"/>
  <c r="E57" i="67"/>
  <c r="H56" i="67"/>
  <c r="E56" i="67"/>
  <c r="H55" i="67"/>
  <c r="E55" i="67"/>
  <c r="H54" i="67"/>
  <c r="E54" i="67"/>
  <c r="D54" i="67" s="1"/>
  <c r="H53" i="67"/>
  <c r="E53" i="67"/>
  <c r="H52" i="67"/>
  <c r="E52" i="67"/>
  <c r="H51" i="67"/>
  <c r="E51" i="67"/>
  <c r="H50" i="67"/>
  <c r="E50" i="67"/>
  <c r="H49" i="67"/>
  <c r="E49" i="67"/>
  <c r="H48" i="67"/>
  <c r="E48" i="67"/>
  <c r="D48" i="67" s="1"/>
  <c r="H47" i="67"/>
  <c r="E47" i="67"/>
  <c r="H46" i="67"/>
  <c r="E46" i="67"/>
  <c r="H45" i="67"/>
  <c r="E45" i="67"/>
  <c r="D45" i="67" s="1"/>
  <c r="H44" i="67"/>
  <c r="E44" i="67"/>
  <c r="H43" i="67"/>
  <c r="E43" i="67"/>
  <c r="H42" i="67"/>
  <c r="E42" i="67"/>
  <c r="H41" i="67"/>
  <c r="E41" i="67"/>
  <c r="H40" i="67"/>
  <c r="E40" i="67"/>
  <c r="H39" i="67"/>
  <c r="E39" i="67"/>
  <c r="H38" i="67"/>
  <c r="E38" i="67"/>
  <c r="H37" i="67"/>
  <c r="E37" i="67"/>
  <c r="H36" i="67"/>
  <c r="E36" i="67"/>
  <c r="D36" i="67" s="1"/>
  <c r="H35" i="67"/>
  <c r="E35" i="67"/>
  <c r="D35" i="67" s="1"/>
  <c r="H34" i="67"/>
  <c r="E34" i="67"/>
  <c r="H33" i="67"/>
  <c r="E33" i="67"/>
  <c r="H32" i="67"/>
  <c r="E32" i="67"/>
  <c r="H31" i="67"/>
  <c r="E31" i="67"/>
  <c r="H30" i="67"/>
  <c r="E30" i="67"/>
  <c r="H29" i="67"/>
  <c r="E29" i="67"/>
  <c r="H28" i="67"/>
  <c r="E28" i="67"/>
  <c r="H27" i="67"/>
  <c r="D27" i="67" s="1"/>
  <c r="E27" i="67"/>
  <c r="H26" i="67"/>
  <c r="E26" i="67"/>
  <c r="H25" i="67"/>
  <c r="E25" i="67"/>
  <c r="H24" i="67"/>
  <c r="E24" i="67"/>
  <c r="H23" i="67"/>
  <c r="E23" i="67"/>
  <c r="H22" i="67"/>
  <c r="E22" i="67"/>
  <c r="H21" i="67"/>
  <c r="E21" i="67"/>
  <c r="H20" i="67"/>
  <c r="E20" i="67"/>
  <c r="H19" i="67"/>
  <c r="E19" i="67"/>
  <c r="H18" i="67"/>
  <c r="E18" i="67"/>
  <c r="D18" i="67" s="1"/>
  <c r="H17" i="67"/>
  <c r="E17" i="67"/>
  <c r="H16" i="67"/>
  <c r="E16" i="67"/>
  <c r="H15" i="67"/>
  <c r="E15" i="67"/>
  <c r="H14" i="67"/>
  <c r="E14" i="67"/>
  <c r="H13" i="67"/>
  <c r="E13" i="67"/>
  <c r="H12" i="67"/>
  <c r="E12" i="67"/>
  <c r="H11" i="67"/>
  <c r="E11" i="67"/>
  <c r="H10" i="67"/>
  <c r="E10" i="67"/>
  <c r="L9" i="67"/>
  <c r="L7" i="67" s="1"/>
  <c r="K9" i="67"/>
  <c r="K7" i="67" s="1"/>
  <c r="J9" i="67"/>
  <c r="J7" i="67" s="1"/>
  <c r="I9" i="67"/>
  <c r="I7" i="67" s="1"/>
  <c r="G9" i="67"/>
  <c r="G7" i="67" s="1"/>
  <c r="F9" i="67"/>
  <c r="F7" i="67" s="1"/>
  <c r="E8" i="67"/>
  <c r="D17" i="67" l="1"/>
  <c r="D84" i="67"/>
  <c r="D112" i="67"/>
  <c r="D128" i="67"/>
  <c r="D132" i="67"/>
  <c r="D129" i="67"/>
  <c r="D12" i="67"/>
  <c r="D24" i="67"/>
  <c r="D91" i="67"/>
  <c r="D95" i="67"/>
  <c r="D103" i="67"/>
  <c r="D127" i="67"/>
  <c r="D135" i="67"/>
  <c r="D47" i="67"/>
  <c r="D130" i="67"/>
  <c r="D131" i="67"/>
  <c r="D137" i="67"/>
  <c r="D66" i="67"/>
  <c r="D72" i="67"/>
  <c r="D96" i="67"/>
  <c r="D20" i="67"/>
  <c r="D26" i="67"/>
  <c r="D15" i="67"/>
  <c r="D21" i="67"/>
  <c r="D56" i="67"/>
  <c r="D80" i="67"/>
  <c r="D110" i="67"/>
  <c r="D116" i="67"/>
  <c r="D122" i="67"/>
  <c r="D57" i="67"/>
  <c r="D69" i="67"/>
  <c r="D75" i="67"/>
  <c r="D87" i="67"/>
  <c r="D93" i="67"/>
  <c r="D105" i="67"/>
  <c r="D117" i="67"/>
  <c r="D146" i="67"/>
  <c r="D29" i="67"/>
  <c r="D33" i="67"/>
  <c r="D78" i="67"/>
  <c r="D104" i="67"/>
  <c r="D108" i="67"/>
  <c r="D119" i="67"/>
  <c r="D144" i="67"/>
  <c r="D11" i="67"/>
  <c r="D71" i="67"/>
  <c r="D86" i="67"/>
  <c r="D120" i="67"/>
  <c r="D30" i="67"/>
  <c r="D38" i="67"/>
  <c r="D42" i="67"/>
  <c r="D53" i="67"/>
  <c r="D60" i="67"/>
  <c r="D94" i="67"/>
  <c r="D98" i="67"/>
  <c r="D134" i="67"/>
  <c r="D99" i="67"/>
  <c r="D114" i="67"/>
  <c r="D39" i="67"/>
  <c r="D136" i="67"/>
  <c r="D44" i="67"/>
  <c r="D51" i="67"/>
  <c r="D62" i="67"/>
  <c r="D74" i="67"/>
  <c r="D85" i="67"/>
  <c r="D100" i="67"/>
  <c r="D140" i="67"/>
  <c r="D28" i="67"/>
  <c r="D31" i="67"/>
  <c r="D41" i="67"/>
  <c r="D67" i="67"/>
  <c r="D77" i="67"/>
  <c r="D107" i="67"/>
  <c r="D19" i="67"/>
  <c r="D22" i="67"/>
  <c r="D32" i="67"/>
  <c r="D58" i="67"/>
  <c r="D68" i="67"/>
  <c r="D145" i="67"/>
  <c r="D10" i="67"/>
  <c r="D13" i="67"/>
  <c r="D23" i="67"/>
  <c r="D46" i="67"/>
  <c r="D49" i="67"/>
  <c r="D59" i="67"/>
  <c r="D82" i="67"/>
  <c r="D89" i="67"/>
  <c r="D14" i="67"/>
  <c r="D37" i="67"/>
  <c r="D40" i="67"/>
  <c r="D50" i="67"/>
  <c r="D76" i="67"/>
  <c r="D83" i="67"/>
  <c r="D113" i="67"/>
  <c r="D143" i="67"/>
  <c r="D139" i="67"/>
  <c r="H9" i="67"/>
  <c r="D25" i="67"/>
  <c r="D52" i="67"/>
  <c r="D61" i="67"/>
  <c r="D70" i="67"/>
  <c r="E7" i="67"/>
  <c r="E9" i="67"/>
  <c r="D16" i="67"/>
  <c r="D34" i="67"/>
  <c r="D55" i="67"/>
  <c r="D64" i="67"/>
  <c r="D73" i="67"/>
  <c r="D43" i="67"/>
  <c r="H7" i="67"/>
  <c r="D79" i="67"/>
  <c r="D88" i="67"/>
  <c r="D97" i="67"/>
  <c r="D106" i="67"/>
  <c r="D115" i="67"/>
  <c r="D124" i="67"/>
  <c r="D133" i="67"/>
  <c r="D142" i="67"/>
  <c r="D9" i="67" l="1"/>
  <c r="D7" i="67" s="1"/>
  <c r="D147" i="66" l="1"/>
  <c r="D146" i="66"/>
  <c r="D145" i="66"/>
  <c r="D144" i="66"/>
  <c r="D143" i="66"/>
  <c r="D142" i="66"/>
  <c r="D141" i="66"/>
  <c r="D140" i="66"/>
  <c r="D139" i="66"/>
  <c r="D138" i="66"/>
  <c r="D137" i="66"/>
  <c r="D136" i="66"/>
  <c r="D135" i="66"/>
  <c r="D134" i="66"/>
  <c r="D133" i="66"/>
  <c r="D132" i="66"/>
  <c r="D131" i="66"/>
  <c r="D130" i="66"/>
  <c r="D129" i="66"/>
  <c r="D128" i="66"/>
  <c r="D127" i="66"/>
  <c r="D126" i="66"/>
  <c r="D125" i="66"/>
  <c r="D124" i="66"/>
  <c r="D123" i="66"/>
  <c r="D122" i="66"/>
  <c r="D121" i="66"/>
  <c r="D120" i="66"/>
  <c r="D119" i="66"/>
  <c r="D118" i="66"/>
  <c r="D117" i="66"/>
  <c r="D116" i="66"/>
  <c r="D115" i="66"/>
  <c r="D114" i="66"/>
  <c r="D113" i="66"/>
  <c r="D112" i="66"/>
  <c r="D111" i="66"/>
  <c r="D110" i="66"/>
  <c r="D109" i="66"/>
  <c r="D108" i="66"/>
  <c r="D107" i="66"/>
  <c r="D106" i="66"/>
  <c r="D105" i="66"/>
  <c r="D104" i="66"/>
  <c r="D103" i="66"/>
  <c r="D102" i="66"/>
  <c r="D101" i="66"/>
  <c r="D100" i="66"/>
  <c r="D99" i="66"/>
  <c r="D98" i="66"/>
  <c r="D97" i="66"/>
  <c r="D96" i="66"/>
  <c r="D95" i="66"/>
  <c r="D94" i="66"/>
  <c r="D93" i="66"/>
  <c r="D92" i="66"/>
  <c r="D91" i="66"/>
  <c r="D90" i="66"/>
  <c r="D89" i="66"/>
  <c r="D88" i="66"/>
  <c r="D87" i="66"/>
  <c r="D86" i="66"/>
  <c r="D85" i="66"/>
  <c r="D84" i="66"/>
  <c r="D83" i="66"/>
  <c r="D82" i="66"/>
  <c r="D81" i="66"/>
  <c r="D80" i="66"/>
  <c r="D79" i="66"/>
  <c r="D78" i="66"/>
  <c r="D77" i="66"/>
  <c r="D76" i="66"/>
  <c r="D75" i="66"/>
  <c r="D74" i="66"/>
  <c r="D73" i="66"/>
  <c r="D72" i="66"/>
  <c r="D71" i="66"/>
  <c r="D70" i="66"/>
  <c r="D69" i="66"/>
  <c r="D68" i="66"/>
  <c r="D67" i="66"/>
  <c r="D66" i="66"/>
  <c r="D65" i="66"/>
  <c r="D64" i="66"/>
  <c r="D63" i="66"/>
  <c r="D62" i="66"/>
  <c r="D61" i="66"/>
  <c r="D60" i="66"/>
  <c r="D59" i="66"/>
  <c r="D58" i="66"/>
  <c r="D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G9" i="66"/>
  <c r="G7" i="66" s="1"/>
  <c r="F9" i="66"/>
  <c r="F7" i="66" s="1"/>
  <c r="E9" i="66"/>
  <c r="E7" i="66" s="1"/>
  <c r="D8" i="66"/>
  <c r="D9" i="66" l="1"/>
  <c r="D7" i="66" s="1"/>
  <c r="S148" i="65" l="1"/>
  <c r="Q148" i="65"/>
  <c r="O148" i="65" s="1"/>
  <c r="N148" i="65"/>
  <c r="M148" i="65"/>
  <c r="I148" i="65"/>
  <c r="H148" i="65" s="1"/>
  <c r="E148" i="65"/>
  <c r="S147" i="65"/>
  <c r="Q147" i="65"/>
  <c r="O147" i="65" s="1"/>
  <c r="N147" i="65"/>
  <c r="M147" i="65"/>
  <c r="I147" i="65"/>
  <c r="H147" i="65" s="1"/>
  <c r="E147" i="65"/>
  <c r="S146" i="65"/>
  <c r="Q146" i="65"/>
  <c r="O146" i="65" s="1"/>
  <c r="N146" i="65"/>
  <c r="M146" i="65"/>
  <c r="I146" i="65"/>
  <c r="H146" i="65" s="1"/>
  <c r="E146" i="65"/>
  <c r="S145" i="65"/>
  <c r="Q145" i="65"/>
  <c r="O145" i="65" s="1"/>
  <c r="N145" i="65"/>
  <c r="M145" i="65"/>
  <c r="I145" i="65"/>
  <c r="H145" i="65" s="1"/>
  <c r="E145" i="65"/>
  <c r="S144" i="65"/>
  <c r="Q144" i="65"/>
  <c r="O144" i="65" s="1"/>
  <c r="N144" i="65"/>
  <c r="M144" i="65"/>
  <c r="I144" i="65"/>
  <c r="H144" i="65" s="1"/>
  <c r="E144" i="65"/>
  <c r="S143" i="65"/>
  <c r="Q143" i="65"/>
  <c r="O143" i="65" s="1"/>
  <c r="N143" i="65"/>
  <c r="M143" i="65"/>
  <c r="I143" i="65"/>
  <c r="H143" i="65" s="1"/>
  <c r="E143" i="65"/>
  <c r="S142" i="65"/>
  <c r="Q142" i="65"/>
  <c r="O142" i="65" s="1"/>
  <c r="N142" i="65"/>
  <c r="M142" i="65"/>
  <c r="I142" i="65"/>
  <c r="H142" i="65" s="1"/>
  <c r="E142" i="65"/>
  <c r="S141" i="65"/>
  <c r="Q141" i="65"/>
  <c r="O141" i="65" s="1"/>
  <c r="N141" i="65"/>
  <c r="M141" i="65"/>
  <c r="I141" i="65"/>
  <c r="H141" i="65" s="1"/>
  <c r="E141" i="65"/>
  <c r="S140" i="65"/>
  <c r="Q140" i="65"/>
  <c r="O140" i="65" s="1"/>
  <c r="N140" i="65"/>
  <c r="M140" i="65"/>
  <c r="I140" i="65"/>
  <c r="H140" i="65" s="1"/>
  <c r="E140" i="65"/>
  <c r="S139" i="65"/>
  <c r="Q139" i="65"/>
  <c r="O139" i="65" s="1"/>
  <c r="N139" i="65"/>
  <c r="M139" i="65"/>
  <c r="I139" i="65"/>
  <c r="H139" i="65" s="1"/>
  <c r="E139" i="65"/>
  <c r="S138" i="65"/>
  <c r="Q138" i="65"/>
  <c r="O138" i="65" s="1"/>
  <c r="N138" i="65"/>
  <c r="M138" i="65"/>
  <c r="I138" i="65"/>
  <c r="H138" i="65" s="1"/>
  <c r="E138" i="65"/>
  <c r="S137" i="65"/>
  <c r="Q137" i="65"/>
  <c r="O137" i="65" s="1"/>
  <c r="N137" i="65"/>
  <c r="M137" i="65"/>
  <c r="I137" i="65"/>
  <c r="H137" i="65" s="1"/>
  <c r="E137" i="65"/>
  <c r="S136" i="65"/>
  <c r="Q136" i="65"/>
  <c r="O136" i="65" s="1"/>
  <c r="N136" i="65"/>
  <c r="M136" i="65"/>
  <c r="I136" i="65"/>
  <c r="H136" i="65" s="1"/>
  <c r="E136" i="65"/>
  <c r="S135" i="65"/>
  <c r="Q135" i="65"/>
  <c r="O135" i="65" s="1"/>
  <c r="N135" i="65"/>
  <c r="M135" i="65"/>
  <c r="I135" i="65"/>
  <c r="H135" i="65" s="1"/>
  <c r="E135" i="65"/>
  <c r="S134" i="65"/>
  <c r="Q134" i="65"/>
  <c r="O134" i="65" s="1"/>
  <c r="N134" i="65"/>
  <c r="M134" i="65"/>
  <c r="I134" i="65"/>
  <c r="H134" i="65" s="1"/>
  <c r="E134" i="65"/>
  <c r="S133" i="65"/>
  <c r="Q133" i="65"/>
  <c r="O133" i="65" s="1"/>
  <c r="N133" i="65"/>
  <c r="M133" i="65"/>
  <c r="I133" i="65"/>
  <c r="H133" i="65" s="1"/>
  <c r="E133" i="65"/>
  <c r="S132" i="65"/>
  <c r="Q132" i="65"/>
  <c r="O132" i="65" s="1"/>
  <c r="N132" i="65"/>
  <c r="M132" i="65"/>
  <c r="I132" i="65"/>
  <c r="H132" i="65" s="1"/>
  <c r="E132" i="65"/>
  <c r="S131" i="65"/>
  <c r="R131" i="65"/>
  <c r="Q131" i="65"/>
  <c r="N131" i="65"/>
  <c r="M131" i="65"/>
  <c r="I131" i="65"/>
  <c r="H131" i="65" s="1"/>
  <c r="E131" i="65"/>
  <c r="S130" i="65"/>
  <c r="Q130" i="65"/>
  <c r="O130" i="65" s="1"/>
  <c r="N130" i="65"/>
  <c r="M130" i="65"/>
  <c r="I130" i="65"/>
  <c r="H130" i="65" s="1"/>
  <c r="E130" i="65"/>
  <c r="S129" i="65"/>
  <c r="Q129" i="65"/>
  <c r="O129" i="65" s="1"/>
  <c r="N129" i="65"/>
  <c r="M129" i="65"/>
  <c r="I129" i="65"/>
  <c r="H129" i="65" s="1"/>
  <c r="E129" i="65"/>
  <c r="S128" i="65"/>
  <c r="Q128" i="65"/>
  <c r="O128" i="65"/>
  <c r="N128" i="65"/>
  <c r="M128" i="65"/>
  <c r="I128" i="65"/>
  <c r="H128" i="65" s="1"/>
  <c r="E128" i="65"/>
  <c r="S127" i="65"/>
  <c r="Q127" i="65"/>
  <c r="O127" i="65" s="1"/>
  <c r="N127" i="65"/>
  <c r="M127" i="65"/>
  <c r="I127" i="65"/>
  <c r="H127" i="65" s="1"/>
  <c r="E127" i="65"/>
  <c r="S126" i="65"/>
  <c r="Q126" i="65"/>
  <c r="O126" i="65" s="1"/>
  <c r="N126" i="65"/>
  <c r="M126" i="65"/>
  <c r="I126" i="65"/>
  <c r="H126" i="65" s="1"/>
  <c r="E126" i="65"/>
  <c r="S125" i="65"/>
  <c r="Q125" i="65"/>
  <c r="O125" i="65" s="1"/>
  <c r="N125" i="65"/>
  <c r="M125" i="65"/>
  <c r="I125" i="65"/>
  <c r="H125" i="65" s="1"/>
  <c r="E125" i="65"/>
  <c r="S124" i="65"/>
  <c r="Q124" i="65"/>
  <c r="O124" i="65" s="1"/>
  <c r="N124" i="65"/>
  <c r="M124" i="65"/>
  <c r="I124" i="65"/>
  <c r="H124" i="65" s="1"/>
  <c r="E124" i="65"/>
  <c r="S123" i="65"/>
  <c r="Q123" i="65"/>
  <c r="O123" i="65" s="1"/>
  <c r="N123" i="65"/>
  <c r="M123" i="65"/>
  <c r="I123" i="65"/>
  <c r="H123" i="65" s="1"/>
  <c r="E123" i="65"/>
  <c r="S122" i="65"/>
  <c r="Q122" i="65"/>
  <c r="O122" i="65" s="1"/>
  <c r="N122" i="65"/>
  <c r="M122" i="65"/>
  <c r="I122" i="65"/>
  <c r="H122" i="65" s="1"/>
  <c r="E122" i="65"/>
  <c r="S121" i="65"/>
  <c r="Q121" i="65"/>
  <c r="O121" i="65" s="1"/>
  <c r="N121" i="65"/>
  <c r="M121" i="65"/>
  <c r="I121" i="65"/>
  <c r="H121" i="65" s="1"/>
  <c r="E121" i="65"/>
  <c r="S120" i="65"/>
  <c r="Q120" i="65"/>
  <c r="O120" i="65" s="1"/>
  <c r="N120" i="65"/>
  <c r="M120" i="65"/>
  <c r="I120" i="65"/>
  <c r="H120" i="65" s="1"/>
  <c r="E120" i="65"/>
  <c r="S119" i="65"/>
  <c r="Q119" i="65"/>
  <c r="O119" i="65" s="1"/>
  <c r="N119" i="65"/>
  <c r="M119" i="65"/>
  <c r="I119" i="65"/>
  <c r="H119" i="65" s="1"/>
  <c r="E119" i="65"/>
  <c r="S118" i="65"/>
  <c r="Q118" i="65"/>
  <c r="O118" i="65" s="1"/>
  <c r="N118" i="65"/>
  <c r="M118" i="65"/>
  <c r="I118" i="65"/>
  <c r="H118" i="65" s="1"/>
  <c r="E118" i="65"/>
  <c r="S117" i="65"/>
  <c r="Q117" i="65"/>
  <c r="O117" i="65" s="1"/>
  <c r="N117" i="65"/>
  <c r="M117" i="65"/>
  <c r="I117" i="65"/>
  <c r="H117" i="65" s="1"/>
  <c r="E117" i="65"/>
  <c r="S116" i="65"/>
  <c r="Q116" i="65"/>
  <c r="O116" i="65" s="1"/>
  <c r="N116" i="65"/>
  <c r="M116" i="65"/>
  <c r="I116" i="65"/>
  <c r="H116" i="65" s="1"/>
  <c r="E116" i="65"/>
  <c r="S115" i="65"/>
  <c r="Q115" i="65"/>
  <c r="O115" i="65" s="1"/>
  <c r="N115" i="65"/>
  <c r="M115" i="65"/>
  <c r="I115" i="65"/>
  <c r="H115" i="65" s="1"/>
  <c r="E115" i="65"/>
  <c r="S114" i="65"/>
  <c r="Q114" i="65"/>
  <c r="O114" i="65" s="1"/>
  <c r="N114" i="65"/>
  <c r="M114" i="65"/>
  <c r="I114" i="65"/>
  <c r="H114" i="65" s="1"/>
  <c r="E114" i="65"/>
  <c r="S113" i="65"/>
  <c r="Q113" i="65"/>
  <c r="O113" i="65" s="1"/>
  <c r="N113" i="65"/>
  <c r="M113" i="65"/>
  <c r="I113" i="65"/>
  <c r="H113" i="65" s="1"/>
  <c r="E113" i="65"/>
  <c r="S112" i="65"/>
  <c r="Q112" i="65"/>
  <c r="O112" i="65" s="1"/>
  <c r="N112" i="65"/>
  <c r="M112" i="65"/>
  <c r="I112" i="65"/>
  <c r="H112" i="65" s="1"/>
  <c r="E112" i="65"/>
  <c r="S111" i="65"/>
  <c r="Q111" i="65"/>
  <c r="O111" i="65" s="1"/>
  <c r="N111" i="65"/>
  <c r="M111" i="65"/>
  <c r="I111" i="65"/>
  <c r="H111" i="65" s="1"/>
  <c r="E111" i="65"/>
  <c r="S110" i="65"/>
  <c r="Q110" i="65"/>
  <c r="O110" i="65" s="1"/>
  <c r="N110" i="65"/>
  <c r="M110" i="65"/>
  <c r="I110" i="65"/>
  <c r="H110" i="65" s="1"/>
  <c r="E110" i="65"/>
  <c r="S109" i="65"/>
  <c r="Q109" i="65"/>
  <c r="O109" i="65" s="1"/>
  <c r="N109" i="65"/>
  <c r="M109" i="65"/>
  <c r="I109" i="65"/>
  <c r="H109" i="65" s="1"/>
  <c r="E109" i="65"/>
  <c r="S108" i="65"/>
  <c r="Q108" i="65"/>
  <c r="O108" i="65" s="1"/>
  <c r="N108" i="65"/>
  <c r="M108" i="65"/>
  <c r="I108" i="65"/>
  <c r="H108" i="65" s="1"/>
  <c r="E108" i="65"/>
  <c r="S107" i="65"/>
  <c r="Q107" i="65"/>
  <c r="O107" i="65" s="1"/>
  <c r="N107" i="65"/>
  <c r="M107" i="65"/>
  <c r="I107" i="65"/>
  <c r="H107" i="65" s="1"/>
  <c r="E107" i="65"/>
  <c r="S106" i="65"/>
  <c r="Q106" i="65"/>
  <c r="O106" i="65" s="1"/>
  <c r="N106" i="65"/>
  <c r="M106" i="65"/>
  <c r="I106" i="65"/>
  <c r="H106" i="65" s="1"/>
  <c r="E106" i="65"/>
  <c r="S105" i="65"/>
  <c r="Q105" i="65"/>
  <c r="O105" i="65" s="1"/>
  <c r="N105" i="65"/>
  <c r="M105" i="65"/>
  <c r="I105" i="65"/>
  <c r="H105" i="65" s="1"/>
  <c r="E105" i="65"/>
  <c r="S104" i="65"/>
  <c r="Q104" i="65"/>
  <c r="O104" i="65" s="1"/>
  <c r="N104" i="65"/>
  <c r="M104" i="65"/>
  <c r="I104" i="65"/>
  <c r="H104" i="65" s="1"/>
  <c r="E104" i="65"/>
  <c r="S103" i="65"/>
  <c r="Q103" i="65"/>
  <c r="O103" i="65" s="1"/>
  <c r="N103" i="65"/>
  <c r="M103" i="65"/>
  <c r="I103" i="65"/>
  <c r="H103" i="65" s="1"/>
  <c r="E103" i="65"/>
  <c r="S102" i="65"/>
  <c r="Q102" i="65"/>
  <c r="O102" i="65" s="1"/>
  <c r="N102" i="65"/>
  <c r="M102" i="65"/>
  <c r="I102" i="65"/>
  <c r="H102" i="65" s="1"/>
  <c r="E102" i="65"/>
  <c r="S101" i="65"/>
  <c r="Q101" i="65"/>
  <c r="O101" i="65" s="1"/>
  <c r="N101" i="65"/>
  <c r="M101" i="65"/>
  <c r="I101" i="65"/>
  <c r="H101" i="65" s="1"/>
  <c r="E101" i="65"/>
  <c r="S100" i="65"/>
  <c r="Q100" i="65"/>
  <c r="O100" i="65" s="1"/>
  <c r="N100" i="65"/>
  <c r="M100" i="65"/>
  <c r="I100" i="65"/>
  <c r="H100" i="65" s="1"/>
  <c r="E100" i="65"/>
  <c r="S99" i="65"/>
  <c r="Q99" i="65"/>
  <c r="O99" i="65" s="1"/>
  <c r="N99" i="65"/>
  <c r="M99" i="65"/>
  <c r="I99" i="65"/>
  <c r="H99" i="65" s="1"/>
  <c r="E99" i="65"/>
  <c r="S98" i="65"/>
  <c r="Q98" i="65"/>
  <c r="O98" i="65" s="1"/>
  <c r="N98" i="65"/>
  <c r="M98" i="65"/>
  <c r="I98" i="65"/>
  <c r="H98" i="65" s="1"/>
  <c r="E98" i="65"/>
  <c r="S97" i="65"/>
  <c r="Q97" i="65"/>
  <c r="O97" i="65" s="1"/>
  <c r="N97" i="65"/>
  <c r="M97" i="65"/>
  <c r="I97" i="65"/>
  <c r="H97" i="65" s="1"/>
  <c r="E97" i="65"/>
  <c r="S96" i="65"/>
  <c r="Q96" i="65"/>
  <c r="O96" i="65" s="1"/>
  <c r="N96" i="65"/>
  <c r="M96" i="65"/>
  <c r="I96" i="65"/>
  <c r="H96" i="65" s="1"/>
  <c r="E96" i="65"/>
  <c r="S95" i="65"/>
  <c r="Q95" i="65"/>
  <c r="O95" i="65" s="1"/>
  <c r="N95" i="65"/>
  <c r="M95" i="65"/>
  <c r="I95" i="65"/>
  <c r="H95" i="65" s="1"/>
  <c r="E95" i="65"/>
  <c r="S94" i="65"/>
  <c r="Q94" i="65"/>
  <c r="O94" i="65" s="1"/>
  <c r="N94" i="65"/>
  <c r="M94" i="65"/>
  <c r="I94" i="65"/>
  <c r="H94" i="65" s="1"/>
  <c r="E94" i="65"/>
  <c r="S93" i="65"/>
  <c r="Q93" i="65"/>
  <c r="O93" i="65" s="1"/>
  <c r="N93" i="65"/>
  <c r="M93" i="65"/>
  <c r="I93" i="65"/>
  <c r="H93" i="65" s="1"/>
  <c r="E93" i="65"/>
  <c r="S92" i="65"/>
  <c r="Q92" i="65"/>
  <c r="O92" i="65" s="1"/>
  <c r="N92" i="65"/>
  <c r="M92" i="65"/>
  <c r="I92" i="65"/>
  <c r="H92" i="65" s="1"/>
  <c r="E92" i="65"/>
  <c r="S91" i="65"/>
  <c r="Q91" i="65"/>
  <c r="O91" i="65" s="1"/>
  <c r="N91" i="65"/>
  <c r="M91" i="65"/>
  <c r="I91" i="65"/>
  <c r="H91" i="65" s="1"/>
  <c r="E91" i="65"/>
  <c r="S90" i="65"/>
  <c r="Q90" i="65"/>
  <c r="O90" i="65" s="1"/>
  <c r="N90" i="65"/>
  <c r="M90" i="65"/>
  <c r="I90" i="65"/>
  <c r="H90" i="65" s="1"/>
  <c r="E90" i="65"/>
  <c r="S89" i="65"/>
  <c r="Q89" i="65"/>
  <c r="O89" i="65" s="1"/>
  <c r="N89" i="65"/>
  <c r="M89" i="65"/>
  <c r="I89" i="65"/>
  <c r="H89" i="65" s="1"/>
  <c r="E89" i="65"/>
  <c r="S88" i="65"/>
  <c r="Q88" i="65"/>
  <c r="O88" i="65" s="1"/>
  <c r="N88" i="65"/>
  <c r="M88" i="65"/>
  <c r="I88" i="65"/>
  <c r="H88" i="65" s="1"/>
  <c r="E88" i="65"/>
  <c r="S87" i="65"/>
  <c r="Q87" i="65"/>
  <c r="O87" i="65" s="1"/>
  <c r="N87" i="65"/>
  <c r="M87" i="65"/>
  <c r="I87" i="65"/>
  <c r="H87" i="65" s="1"/>
  <c r="E87" i="65"/>
  <c r="S86" i="65"/>
  <c r="Q86" i="65"/>
  <c r="O86" i="65" s="1"/>
  <c r="N86" i="65"/>
  <c r="M86" i="65"/>
  <c r="I86" i="65"/>
  <c r="H86" i="65" s="1"/>
  <c r="E86" i="65"/>
  <c r="S85" i="65"/>
  <c r="Q85" i="65"/>
  <c r="O85" i="65" s="1"/>
  <c r="N85" i="65"/>
  <c r="M85" i="65"/>
  <c r="I85" i="65"/>
  <c r="H85" i="65" s="1"/>
  <c r="E85" i="65"/>
  <c r="S84" i="65"/>
  <c r="Q84" i="65"/>
  <c r="O84" i="65" s="1"/>
  <c r="N84" i="65"/>
  <c r="M84" i="65"/>
  <c r="I84" i="65"/>
  <c r="H84" i="65" s="1"/>
  <c r="E84" i="65"/>
  <c r="S83" i="65"/>
  <c r="Q83" i="65"/>
  <c r="O83" i="65" s="1"/>
  <c r="N83" i="65"/>
  <c r="M83" i="65"/>
  <c r="I83" i="65"/>
  <c r="H83" i="65" s="1"/>
  <c r="E83" i="65"/>
  <c r="S82" i="65"/>
  <c r="Q82" i="65"/>
  <c r="O82" i="65" s="1"/>
  <c r="N82" i="65"/>
  <c r="M82" i="65"/>
  <c r="I82" i="65"/>
  <c r="H82" i="65" s="1"/>
  <c r="E82" i="65"/>
  <c r="S81" i="65"/>
  <c r="Q81" i="65"/>
  <c r="O81" i="65" s="1"/>
  <c r="N81" i="65"/>
  <c r="M81" i="65"/>
  <c r="I81" i="65"/>
  <c r="H81" i="65" s="1"/>
  <c r="E81" i="65"/>
  <c r="S80" i="65"/>
  <c r="Q80" i="65"/>
  <c r="O80" i="65" s="1"/>
  <c r="N80" i="65"/>
  <c r="M80" i="65"/>
  <c r="I80" i="65"/>
  <c r="H80" i="65" s="1"/>
  <c r="E80" i="65"/>
  <c r="S79" i="65"/>
  <c r="Q79" i="65"/>
  <c r="O79" i="65" s="1"/>
  <c r="N79" i="65"/>
  <c r="M79" i="65"/>
  <c r="I79" i="65"/>
  <c r="H79" i="65" s="1"/>
  <c r="E79" i="65"/>
  <c r="S78" i="65"/>
  <c r="Q78" i="65"/>
  <c r="O78" i="65" s="1"/>
  <c r="N78" i="65"/>
  <c r="M78" i="65"/>
  <c r="I78" i="65"/>
  <c r="H78" i="65" s="1"/>
  <c r="E78" i="65"/>
  <c r="S77" i="65"/>
  <c r="Q77" i="65"/>
  <c r="O77" i="65" s="1"/>
  <c r="N77" i="65"/>
  <c r="M77" i="65"/>
  <c r="I77" i="65"/>
  <c r="H77" i="65" s="1"/>
  <c r="E77" i="65"/>
  <c r="S76" i="65"/>
  <c r="Q76" i="65"/>
  <c r="O76" i="65" s="1"/>
  <c r="N76" i="65"/>
  <c r="M76" i="65"/>
  <c r="I76" i="65"/>
  <c r="H76" i="65" s="1"/>
  <c r="E76" i="65"/>
  <c r="S75" i="65"/>
  <c r="Q75" i="65"/>
  <c r="O75" i="65" s="1"/>
  <c r="N75" i="65"/>
  <c r="M75" i="65"/>
  <c r="I75" i="65"/>
  <c r="H75" i="65" s="1"/>
  <c r="E75" i="65"/>
  <c r="S74" i="65"/>
  <c r="Q74" i="65"/>
  <c r="O74" i="65" s="1"/>
  <c r="N74" i="65"/>
  <c r="M74" i="65"/>
  <c r="I74" i="65"/>
  <c r="H74" i="65" s="1"/>
  <c r="E74" i="65"/>
  <c r="S73" i="65"/>
  <c r="Q73" i="65"/>
  <c r="O73" i="65" s="1"/>
  <c r="N73" i="65"/>
  <c r="M73" i="65"/>
  <c r="I73" i="65"/>
  <c r="H73" i="65" s="1"/>
  <c r="E73" i="65"/>
  <c r="S72" i="65"/>
  <c r="Q72" i="65"/>
  <c r="O72" i="65" s="1"/>
  <c r="N72" i="65"/>
  <c r="M72" i="65"/>
  <c r="I72" i="65"/>
  <c r="H72" i="65" s="1"/>
  <c r="E72" i="65"/>
  <c r="S71" i="65"/>
  <c r="Q71" i="65"/>
  <c r="O71" i="65" s="1"/>
  <c r="N71" i="65"/>
  <c r="M71" i="65"/>
  <c r="I71" i="65"/>
  <c r="H71" i="65" s="1"/>
  <c r="E71" i="65"/>
  <c r="S70" i="65"/>
  <c r="Q70" i="65"/>
  <c r="O70" i="65" s="1"/>
  <c r="N70" i="65"/>
  <c r="M70" i="65"/>
  <c r="I70" i="65"/>
  <c r="H70" i="65" s="1"/>
  <c r="E70" i="65"/>
  <c r="S69" i="65"/>
  <c r="Q69" i="65"/>
  <c r="O69" i="65" s="1"/>
  <c r="N69" i="65"/>
  <c r="M69" i="65"/>
  <c r="I69" i="65"/>
  <c r="H69" i="65" s="1"/>
  <c r="E69" i="65"/>
  <c r="S68" i="65"/>
  <c r="Q68" i="65"/>
  <c r="O68" i="65" s="1"/>
  <c r="N68" i="65"/>
  <c r="M68" i="65"/>
  <c r="I68" i="65"/>
  <c r="H68" i="65" s="1"/>
  <c r="E68" i="65"/>
  <c r="S67" i="65"/>
  <c r="Q67" i="65"/>
  <c r="O67" i="65" s="1"/>
  <c r="N67" i="65"/>
  <c r="M67" i="65"/>
  <c r="I67" i="65"/>
  <c r="H67" i="65" s="1"/>
  <c r="E67" i="65"/>
  <c r="S66" i="65"/>
  <c r="Q66" i="65"/>
  <c r="O66" i="65" s="1"/>
  <c r="N66" i="65"/>
  <c r="M66" i="65"/>
  <c r="I66" i="65"/>
  <c r="H66" i="65" s="1"/>
  <c r="E66" i="65"/>
  <c r="S65" i="65"/>
  <c r="Q65" i="65"/>
  <c r="O65" i="65" s="1"/>
  <c r="N65" i="65"/>
  <c r="M65" i="65"/>
  <c r="I65" i="65"/>
  <c r="H65" i="65" s="1"/>
  <c r="E65" i="65"/>
  <c r="S64" i="65"/>
  <c r="Q64" i="65"/>
  <c r="O64" i="65" s="1"/>
  <c r="N64" i="65"/>
  <c r="M64" i="65"/>
  <c r="I64" i="65"/>
  <c r="H64" i="65" s="1"/>
  <c r="E64" i="65"/>
  <c r="S63" i="65"/>
  <c r="Q63" i="65"/>
  <c r="O63" i="65" s="1"/>
  <c r="N63" i="65"/>
  <c r="M63" i="65"/>
  <c r="I63" i="65"/>
  <c r="H63" i="65" s="1"/>
  <c r="E63" i="65"/>
  <c r="S62" i="65"/>
  <c r="Q62" i="65"/>
  <c r="O62" i="65"/>
  <c r="N62" i="65"/>
  <c r="M62" i="65"/>
  <c r="I62" i="65"/>
  <c r="H62" i="65" s="1"/>
  <c r="E62" i="65"/>
  <c r="S61" i="65"/>
  <c r="Q61" i="65"/>
  <c r="O61" i="65" s="1"/>
  <c r="N61" i="65"/>
  <c r="M61" i="65"/>
  <c r="I61" i="65"/>
  <c r="H61" i="65" s="1"/>
  <c r="E61" i="65"/>
  <c r="S60" i="65"/>
  <c r="Q60" i="65"/>
  <c r="O60" i="65" s="1"/>
  <c r="N60" i="65"/>
  <c r="M60" i="65"/>
  <c r="I60" i="65"/>
  <c r="H60" i="65" s="1"/>
  <c r="E60" i="65"/>
  <c r="S59" i="65"/>
  <c r="Q59" i="65"/>
  <c r="O59" i="65" s="1"/>
  <c r="N59" i="65"/>
  <c r="M59" i="65"/>
  <c r="I59" i="65"/>
  <c r="H59" i="65" s="1"/>
  <c r="E59" i="65"/>
  <c r="S58" i="65"/>
  <c r="Q58" i="65"/>
  <c r="O58" i="65" s="1"/>
  <c r="N58" i="65"/>
  <c r="M58" i="65"/>
  <c r="I58" i="65"/>
  <c r="H58" i="65" s="1"/>
  <c r="E58" i="65"/>
  <c r="S57" i="65"/>
  <c r="Q57" i="65"/>
  <c r="O57" i="65" s="1"/>
  <c r="N57" i="65"/>
  <c r="M57" i="65"/>
  <c r="I57" i="65"/>
  <c r="H57" i="65"/>
  <c r="E57" i="65"/>
  <c r="S56" i="65"/>
  <c r="Q56" i="65"/>
  <c r="O56" i="65" s="1"/>
  <c r="N56" i="65"/>
  <c r="M56" i="65"/>
  <c r="I56" i="65"/>
  <c r="H56" i="65" s="1"/>
  <c r="E56" i="65"/>
  <c r="S55" i="65"/>
  <c r="Q55" i="65"/>
  <c r="O55" i="65" s="1"/>
  <c r="N55" i="65"/>
  <c r="M55" i="65"/>
  <c r="I55" i="65"/>
  <c r="H55" i="65" s="1"/>
  <c r="E55" i="65"/>
  <c r="S54" i="65"/>
  <c r="Q54" i="65"/>
  <c r="O54" i="65" s="1"/>
  <c r="N54" i="65"/>
  <c r="M54" i="65"/>
  <c r="I54" i="65"/>
  <c r="H54" i="65" s="1"/>
  <c r="E54" i="65"/>
  <c r="S53" i="65"/>
  <c r="Q53" i="65"/>
  <c r="O53" i="65" s="1"/>
  <c r="N53" i="65"/>
  <c r="M53" i="65"/>
  <c r="I53" i="65"/>
  <c r="H53" i="65" s="1"/>
  <c r="E53" i="65"/>
  <c r="S52" i="65"/>
  <c r="Q52" i="65"/>
  <c r="O52" i="65" s="1"/>
  <c r="N52" i="65"/>
  <c r="M52" i="65"/>
  <c r="I52" i="65"/>
  <c r="H52" i="65" s="1"/>
  <c r="E52" i="65"/>
  <c r="S51" i="65"/>
  <c r="Q51" i="65"/>
  <c r="O51" i="65" s="1"/>
  <c r="N51" i="65"/>
  <c r="M51" i="65"/>
  <c r="I51" i="65"/>
  <c r="H51" i="65" s="1"/>
  <c r="E51" i="65"/>
  <c r="S50" i="65"/>
  <c r="Q50" i="65"/>
  <c r="O50" i="65" s="1"/>
  <c r="N50" i="65"/>
  <c r="M50" i="65"/>
  <c r="I50" i="65"/>
  <c r="H50" i="65" s="1"/>
  <c r="E50" i="65"/>
  <c r="S49" i="65"/>
  <c r="Q49" i="65"/>
  <c r="O49" i="65" s="1"/>
  <c r="N49" i="65"/>
  <c r="M49" i="65"/>
  <c r="I49" i="65"/>
  <c r="H49" i="65" s="1"/>
  <c r="E49" i="65"/>
  <c r="S48" i="65"/>
  <c r="Q48" i="65"/>
  <c r="O48" i="65" s="1"/>
  <c r="N48" i="65"/>
  <c r="M48" i="65"/>
  <c r="I48" i="65"/>
  <c r="H48" i="65" s="1"/>
  <c r="E48" i="65"/>
  <c r="S47" i="65"/>
  <c r="Q47" i="65"/>
  <c r="O47" i="65" s="1"/>
  <c r="N47" i="65"/>
  <c r="M47" i="65"/>
  <c r="I47" i="65"/>
  <c r="H47" i="65" s="1"/>
  <c r="E47" i="65"/>
  <c r="S46" i="65"/>
  <c r="Q46" i="65"/>
  <c r="O46" i="65" s="1"/>
  <c r="N46" i="65"/>
  <c r="M46" i="65"/>
  <c r="I46" i="65"/>
  <c r="H46" i="65" s="1"/>
  <c r="E46" i="65"/>
  <c r="S45" i="65"/>
  <c r="Q45" i="65"/>
  <c r="O45" i="65" s="1"/>
  <c r="N45" i="65"/>
  <c r="M45" i="65"/>
  <c r="I45" i="65"/>
  <c r="H45" i="65" s="1"/>
  <c r="E45" i="65"/>
  <c r="S44" i="65"/>
  <c r="Q44" i="65"/>
  <c r="O44" i="65" s="1"/>
  <c r="N44" i="65"/>
  <c r="M44" i="65"/>
  <c r="I44" i="65"/>
  <c r="H44" i="65" s="1"/>
  <c r="E44" i="65"/>
  <c r="S43" i="65"/>
  <c r="Q43" i="65"/>
  <c r="O43" i="65" s="1"/>
  <c r="N43" i="65"/>
  <c r="M43" i="65"/>
  <c r="I43" i="65"/>
  <c r="H43" i="65" s="1"/>
  <c r="E43" i="65"/>
  <c r="S42" i="65"/>
  <c r="Q42" i="65"/>
  <c r="O42" i="65" s="1"/>
  <c r="N42" i="65"/>
  <c r="M42" i="65"/>
  <c r="I42" i="65"/>
  <c r="H42" i="65" s="1"/>
  <c r="E42" i="65"/>
  <c r="S41" i="65"/>
  <c r="Q41" i="65"/>
  <c r="O41" i="65" s="1"/>
  <c r="N41" i="65"/>
  <c r="M41" i="65"/>
  <c r="I41" i="65"/>
  <c r="H41" i="65" s="1"/>
  <c r="E41" i="65"/>
  <c r="S40" i="65"/>
  <c r="Q40" i="65"/>
  <c r="O40" i="65" s="1"/>
  <c r="N40" i="65"/>
  <c r="M40" i="65"/>
  <c r="I40" i="65"/>
  <c r="H40" i="65" s="1"/>
  <c r="E40" i="65"/>
  <c r="S39" i="65"/>
  <c r="Q39" i="65"/>
  <c r="O39" i="65" s="1"/>
  <c r="N39" i="65"/>
  <c r="M39" i="65"/>
  <c r="I39" i="65"/>
  <c r="H39" i="65" s="1"/>
  <c r="E39" i="65"/>
  <c r="S38" i="65"/>
  <c r="Q38" i="65"/>
  <c r="O38" i="65" s="1"/>
  <c r="N38" i="65"/>
  <c r="M38" i="65"/>
  <c r="I38" i="65"/>
  <c r="H38" i="65" s="1"/>
  <c r="E38" i="65"/>
  <c r="S37" i="65"/>
  <c r="Q37" i="65"/>
  <c r="O37" i="65" s="1"/>
  <c r="N37" i="65"/>
  <c r="M37" i="65"/>
  <c r="I37" i="65"/>
  <c r="H37" i="65" s="1"/>
  <c r="E37" i="65"/>
  <c r="S36" i="65"/>
  <c r="Q36" i="65"/>
  <c r="O36" i="65" s="1"/>
  <c r="N36" i="65"/>
  <c r="M36" i="65"/>
  <c r="I36" i="65"/>
  <c r="H36" i="65" s="1"/>
  <c r="E36" i="65"/>
  <c r="S35" i="65"/>
  <c r="Q35" i="65"/>
  <c r="O35" i="65" s="1"/>
  <c r="N35" i="65"/>
  <c r="M35" i="65"/>
  <c r="I35" i="65"/>
  <c r="H35" i="65" s="1"/>
  <c r="E35" i="65"/>
  <c r="S34" i="65"/>
  <c r="Q34" i="65"/>
  <c r="O34" i="65" s="1"/>
  <c r="N34" i="65"/>
  <c r="M34" i="65"/>
  <c r="I34" i="65"/>
  <c r="H34" i="65" s="1"/>
  <c r="E34" i="65"/>
  <c r="S33" i="65"/>
  <c r="Q33" i="65"/>
  <c r="O33" i="65" s="1"/>
  <c r="N33" i="65"/>
  <c r="M33" i="65"/>
  <c r="I33" i="65"/>
  <c r="H33" i="65" s="1"/>
  <c r="E33" i="65"/>
  <c r="S32" i="65"/>
  <c r="Q32" i="65"/>
  <c r="O32" i="65" s="1"/>
  <c r="N32" i="65"/>
  <c r="M32" i="65"/>
  <c r="I32" i="65"/>
  <c r="H32" i="65" s="1"/>
  <c r="E32" i="65"/>
  <c r="S31" i="65"/>
  <c r="Q31" i="65"/>
  <c r="O31" i="65" s="1"/>
  <c r="N31" i="65"/>
  <c r="M31" i="65"/>
  <c r="I31" i="65"/>
  <c r="H31" i="65" s="1"/>
  <c r="E31" i="65"/>
  <c r="S30" i="65"/>
  <c r="Q30" i="65"/>
  <c r="O30" i="65" s="1"/>
  <c r="N30" i="65"/>
  <c r="M30" i="65"/>
  <c r="I30" i="65"/>
  <c r="H30" i="65" s="1"/>
  <c r="E30" i="65"/>
  <c r="S29" i="65"/>
  <c r="Q29" i="65"/>
  <c r="O29" i="65" s="1"/>
  <c r="N29" i="65"/>
  <c r="M29" i="65"/>
  <c r="I29" i="65"/>
  <c r="H29" i="65" s="1"/>
  <c r="E29" i="65"/>
  <c r="S28" i="65"/>
  <c r="Q28" i="65"/>
  <c r="O28" i="65" s="1"/>
  <c r="N28" i="65"/>
  <c r="M28" i="65"/>
  <c r="I28" i="65"/>
  <c r="H28" i="65" s="1"/>
  <c r="E28" i="65"/>
  <c r="S27" i="65"/>
  <c r="Q27" i="65"/>
  <c r="O27" i="65" s="1"/>
  <c r="N27" i="65"/>
  <c r="M27" i="65"/>
  <c r="I27" i="65"/>
  <c r="H27" i="65" s="1"/>
  <c r="E27" i="65"/>
  <c r="S26" i="65"/>
  <c r="Q26" i="65"/>
  <c r="O26" i="65" s="1"/>
  <c r="N26" i="65"/>
  <c r="M26" i="65"/>
  <c r="I26" i="65"/>
  <c r="H26" i="65" s="1"/>
  <c r="E26" i="65"/>
  <c r="S25" i="65"/>
  <c r="Q25" i="65"/>
  <c r="O25" i="65" s="1"/>
  <c r="N25" i="65"/>
  <c r="M25" i="65"/>
  <c r="I25" i="65"/>
  <c r="H25" i="65" s="1"/>
  <c r="E25" i="65"/>
  <c r="S24" i="65"/>
  <c r="Q24" i="65"/>
  <c r="O24" i="65" s="1"/>
  <c r="N24" i="65"/>
  <c r="M24" i="65"/>
  <c r="I24" i="65"/>
  <c r="H24" i="65" s="1"/>
  <c r="E24" i="65"/>
  <c r="S23" i="65"/>
  <c r="Q23" i="65"/>
  <c r="O23" i="65" s="1"/>
  <c r="N23" i="65"/>
  <c r="M23" i="65"/>
  <c r="I23" i="65"/>
  <c r="H23" i="65" s="1"/>
  <c r="E23" i="65"/>
  <c r="S22" i="65"/>
  <c r="Q22" i="65"/>
  <c r="O22" i="65" s="1"/>
  <c r="N22" i="65"/>
  <c r="M22" i="65"/>
  <c r="I22" i="65"/>
  <c r="H22" i="65" s="1"/>
  <c r="E22" i="65"/>
  <c r="S21" i="65"/>
  <c r="Q21" i="65"/>
  <c r="O21" i="65" s="1"/>
  <c r="N21" i="65"/>
  <c r="M21" i="65"/>
  <c r="I21" i="65"/>
  <c r="H21" i="65" s="1"/>
  <c r="E21" i="65"/>
  <c r="S20" i="65"/>
  <c r="Q20" i="65"/>
  <c r="O20" i="65" s="1"/>
  <c r="N20" i="65"/>
  <c r="M20" i="65"/>
  <c r="I20" i="65"/>
  <c r="H20" i="65" s="1"/>
  <c r="E20" i="65"/>
  <c r="S19" i="65"/>
  <c r="Q19" i="65"/>
  <c r="O19" i="65" s="1"/>
  <c r="N19" i="65"/>
  <c r="M19" i="65"/>
  <c r="I19" i="65"/>
  <c r="H19" i="65" s="1"/>
  <c r="E19" i="65"/>
  <c r="S18" i="65"/>
  <c r="Q18" i="65"/>
  <c r="O18" i="65" s="1"/>
  <c r="N18" i="65"/>
  <c r="M18" i="65"/>
  <c r="I18" i="65"/>
  <c r="H18" i="65" s="1"/>
  <c r="E18" i="65"/>
  <c r="S17" i="65"/>
  <c r="Q17" i="65"/>
  <c r="O17" i="65" s="1"/>
  <c r="N17" i="65"/>
  <c r="M17" i="65"/>
  <c r="I17" i="65"/>
  <c r="H17" i="65" s="1"/>
  <c r="E17" i="65"/>
  <c r="S16" i="65"/>
  <c r="Q16" i="65"/>
  <c r="O16" i="65" s="1"/>
  <c r="N16" i="65"/>
  <c r="M16" i="65"/>
  <c r="I16" i="65"/>
  <c r="E16" i="65"/>
  <c r="S15" i="65"/>
  <c r="Q15" i="65"/>
  <c r="O15" i="65" s="1"/>
  <c r="N15" i="65"/>
  <c r="M15" i="65"/>
  <c r="I15" i="65"/>
  <c r="H15" i="65" s="1"/>
  <c r="E15" i="65"/>
  <c r="S14" i="65"/>
  <c r="Q14" i="65"/>
  <c r="O14" i="65" s="1"/>
  <c r="N14" i="65"/>
  <c r="M14" i="65"/>
  <c r="I14" i="65"/>
  <c r="H14" i="65" s="1"/>
  <c r="E14" i="65"/>
  <c r="S13" i="65"/>
  <c r="Q13" i="65"/>
  <c r="O13" i="65" s="1"/>
  <c r="N13" i="65"/>
  <c r="M13" i="65"/>
  <c r="I13" i="65"/>
  <c r="H13" i="65" s="1"/>
  <c r="E13" i="65"/>
  <c r="S12" i="65"/>
  <c r="Q12" i="65"/>
  <c r="O12" i="65" s="1"/>
  <c r="N12" i="65"/>
  <c r="M12" i="65"/>
  <c r="I12" i="65"/>
  <c r="H12" i="65" s="1"/>
  <c r="E12" i="65"/>
  <c r="S11" i="65"/>
  <c r="Q11" i="65"/>
  <c r="N11" i="65"/>
  <c r="M11" i="65"/>
  <c r="I11" i="65"/>
  <c r="H11" i="65" s="1"/>
  <c r="E11" i="65"/>
  <c r="R10" i="65"/>
  <c r="P10" i="65"/>
  <c r="L10" i="65"/>
  <c r="K10" i="65"/>
  <c r="J10" i="65"/>
  <c r="G10" i="65"/>
  <c r="F10" i="65"/>
  <c r="S9" i="65"/>
  <c r="R9" i="65"/>
  <c r="Q9" i="65"/>
  <c r="P9" i="65"/>
  <c r="N9" i="65"/>
  <c r="M9" i="65"/>
  <c r="L9" i="65"/>
  <c r="K9" i="65"/>
  <c r="J9" i="65"/>
  <c r="I9" i="65"/>
  <c r="G9" i="65"/>
  <c r="G8" i="65" s="1"/>
  <c r="F9" i="65"/>
  <c r="P8" i="65" l="1"/>
  <c r="K8" i="65"/>
  <c r="D68" i="65"/>
  <c r="L8" i="65"/>
  <c r="O131" i="65"/>
  <c r="R8" i="65"/>
  <c r="D92" i="65"/>
  <c r="D60" i="65"/>
  <c r="D117" i="65"/>
  <c r="D84" i="65"/>
  <c r="D106" i="65"/>
  <c r="D108" i="65"/>
  <c r="D110" i="65"/>
  <c r="D126" i="65"/>
  <c r="D72" i="65"/>
  <c r="I10" i="65"/>
  <c r="I8" i="65" s="1"/>
  <c r="D114" i="65"/>
  <c r="D130" i="65"/>
  <c r="D76" i="65"/>
  <c r="D86" i="65"/>
  <c r="D96" i="65"/>
  <c r="D118" i="65"/>
  <c r="D78" i="65"/>
  <c r="D80" i="65"/>
  <c r="D64" i="65"/>
  <c r="D88" i="65"/>
  <c r="D112" i="65"/>
  <c r="E9" i="65"/>
  <c r="D9" i="65" s="1"/>
  <c r="D102" i="65"/>
  <c r="D122" i="65"/>
  <c r="D98" i="65"/>
  <c r="D21" i="65"/>
  <c r="D33" i="65"/>
  <c r="D63" i="65"/>
  <c r="D87" i="65"/>
  <c r="D28" i="65"/>
  <c r="D40" i="65"/>
  <c r="D45" i="65"/>
  <c r="D55" i="65"/>
  <c r="D66" i="65"/>
  <c r="D74" i="65"/>
  <c r="D82" i="65"/>
  <c r="D90" i="65"/>
  <c r="D127" i="65"/>
  <c r="D132" i="65"/>
  <c r="D142" i="65"/>
  <c r="D144" i="65"/>
  <c r="D71" i="65"/>
  <c r="D79" i="65"/>
  <c r="D95" i="65"/>
  <c r="D137" i="65"/>
  <c r="E10" i="65"/>
  <c r="H16" i="65"/>
  <c r="H10" i="65" s="1"/>
  <c r="D38" i="65"/>
  <c r="D58" i="65"/>
  <c r="D147" i="65"/>
  <c r="D100" i="65"/>
  <c r="D135" i="65"/>
  <c r="D50" i="65"/>
  <c r="D124" i="65"/>
  <c r="M10" i="65"/>
  <c r="M8" i="65" s="1"/>
  <c r="S10" i="65"/>
  <c r="S8" i="65" s="1"/>
  <c r="D20" i="65"/>
  <c r="D32" i="65"/>
  <c r="D44" i="65"/>
  <c r="D105" i="65"/>
  <c r="D116" i="65"/>
  <c r="D134" i="65"/>
  <c r="D136" i="65"/>
  <c r="D141" i="65"/>
  <c r="D146" i="65"/>
  <c r="D148" i="65"/>
  <c r="D18" i="65"/>
  <c r="D73" i="65"/>
  <c r="D89" i="65"/>
  <c r="D47" i="65"/>
  <c r="D111" i="65"/>
  <c r="Q10" i="65"/>
  <c r="Q8" i="65" s="1"/>
  <c r="D62" i="65"/>
  <c r="D70" i="65"/>
  <c r="N10" i="65"/>
  <c r="N8" i="65" s="1"/>
  <c r="D94" i="65"/>
  <c r="D139" i="65"/>
  <c r="D81" i="65"/>
  <c r="D97" i="65"/>
  <c r="H9" i="65"/>
  <c r="D56" i="65"/>
  <c r="D128" i="65"/>
  <c r="D133" i="65"/>
  <c r="D145" i="65"/>
  <c r="D36" i="65"/>
  <c r="D54" i="65"/>
  <c r="D61" i="65"/>
  <c r="D69" i="65"/>
  <c r="D77" i="65"/>
  <c r="D85" i="65"/>
  <c r="D93" i="65"/>
  <c r="D140" i="65"/>
  <c r="D65" i="65"/>
  <c r="D24" i="65"/>
  <c r="D48" i="65"/>
  <c r="D104" i="65"/>
  <c r="D120" i="65"/>
  <c r="D52" i="65"/>
  <c r="J8" i="65"/>
  <c r="D12" i="65"/>
  <c r="D14" i="65"/>
  <c r="D26" i="65"/>
  <c r="D53" i="65"/>
  <c r="D109" i="65"/>
  <c r="D143" i="65"/>
  <c r="D23" i="65"/>
  <c r="D35" i="65"/>
  <c r="D103" i="65"/>
  <c r="D119" i="65"/>
  <c r="D129" i="65"/>
  <c r="D13" i="65"/>
  <c r="D25" i="65"/>
  <c r="D37" i="65"/>
  <c r="D57" i="65"/>
  <c r="D121" i="65"/>
  <c r="D15" i="65"/>
  <c r="D27" i="65"/>
  <c r="D30" i="65"/>
  <c r="D39" i="65"/>
  <c r="D42" i="65"/>
  <c r="D49" i="65"/>
  <c r="D59" i="65"/>
  <c r="D67" i="65"/>
  <c r="D75" i="65"/>
  <c r="D83" i="65"/>
  <c r="D91" i="65"/>
  <c r="D113" i="65"/>
  <c r="D131" i="65"/>
  <c r="D22" i="65"/>
  <c r="D99" i="65"/>
  <c r="D17" i="65"/>
  <c r="D29" i="65"/>
  <c r="D34" i="65"/>
  <c r="D41" i="65"/>
  <c r="D51" i="65"/>
  <c r="D123" i="65"/>
  <c r="D107" i="65"/>
  <c r="D138" i="65"/>
  <c r="D19" i="65"/>
  <c r="D31" i="65"/>
  <c r="D43" i="65"/>
  <c r="D101" i="65"/>
  <c r="D115" i="65"/>
  <c r="D125" i="65"/>
  <c r="D46" i="65"/>
  <c r="F8" i="65"/>
  <c r="O11" i="65"/>
  <c r="D11" i="65" s="1"/>
  <c r="E8" i="65" l="1"/>
  <c r="O10" i="65"/>
  <c r="O8" i="65" s="1"/>
  <c r="D16" i="65"/>
  <c r="D10" i="65" s="1"/>
  <c r="H8" i="65"/>
  <c r="D8" i="65" l="1"/>
  <c r="J8" i="64"/>
  <c r="I8" i="64"/>
  <c r="H8" i="64"/>
  <c r="G8" i="64"/>
  <c r="F8" i="64"/>
  <c r="E8" i="64"/>
  <c r="D8" i="64"/>
  <c r="L10" i="41" l="1"/>
  <c r="L11" i="41"/>
  <c r="L12" i="41"/>
  <c r="L13" i="41"/>
  <c r="H11" i="41"/>
  <c r="D7" i="41"/>
  <c r="M148" i="63" l="1"/>
  <c r="H148" i="63"/>
  <c r="E148" i="63"/>
  <c r="M147" i="63"/>
  <c r="H147" i="63"/>
  <c r="E147" i="63"/>
  <c r="D147" i="63" s="1"/>
  <c r="M146" i="63"/>
  <c r="H146" i="63"/>
  <c r="E146" i="63"/>
  <c r="M145" i="63"/>
  <c r="H145" i="63"/>
  <c r="E145" i="63"/>
  <c r="M144" i="63"/>
  <c r="H144" i="63"/>
  <c r="E144" i="63"/>
  <c r="M143" i="63"/>
  <c r="H143" i="63"/>
  <c r="E143" i="63"/>
  <c r="M142" i="63"/>
  <c r="H142" i="63"/>
  <c r="E142" i="63"/>
  <c r="D142" i="63" s="1"/>
  <c r="M141" i="63"/>
  <c r="H141" i="63"/>
  <c r="E141" i="63"/>
  <c r="M140" i="63"/>
  <c r="H140" i="63"/>
  <c r="E140" i="63"/>
  <c r="M139" i="63"/>
  <c r="H139" i="63"/>
  <c r="E139" i="63"/>
  <c r="M138" i="63"/>
  <c r="H138" i="63"/>
  <c r="E138" i="63"/>
  <c r="M137" i="63"/>
  <c r="H137" i="63"/>
  <c r="E137" i="63"/>
  <c r="M136" i="63"/>
  <c r="H136" i="63"/>
  <c r="E136" i="63"/>
  <c r="M135" i="63"/>
  <c r="H135" i="63"/>
  <c r="E135" i="63"/>
  <c r="M134" i="63"/>
  <c r="H134" i="63"/>
  <c r="E134" i="63"/>
  <c r="M133" i="63"/>
  <c r="H133" i="63"/>
  <c r="E133" i="63"/>
  <c r="M132" i="63"/>
  <c r="H132" i="63"/>
  <c r="E132" i="63"/>
  <c r="M131" i="63"/>
  <c r="H131" i="63"/>
  <c r="E131" i="63"/>
  <c r="M130" i="63"/>
  <c r="H130" i="63"/>
  <c r="E130" i="63"/>
  <c r="M129" i="63"/>
  <c r="H129" i="63"/>
  <c r="E129" i="63"/>
  <c r="M128" i="63"/>
  <c r="H128" i="63"/>
  <c r="E128" i="63"/>
  <c r="M127" i="63"/>
  <c r="H127" i="63"/>
  <c r="E127" i="63"/>
  <c r="M126" i="63"/>
  <c r="H126" i="63"/>
  <c r="E126" i="63"/>
  <c r="M125" i="63"/>
  <c r="H125" i="63"/>
  <c r="E125" i="63"/>
  <c r="M124" i="63"/>
  <c r="H124" i="63"/>
  <c r="E124" i="63"/>
  <c r="M123" i="63"/>
  <c r="H123" i="63"/>
  <c r="E123" i="63"/>
  <c r="M122" i="63"/>
  <c r="H122" i="63"/>
  <c r="E122" i="63"/>
  <c r="M121" i="63"/>
  <c r="H121" i="63"/>
  <c r="E121" i="63"/>
  <c r="M120" i="63"/>
  <c r="H120" i="63"/>
  <c r="E120" i="63"/>
  <c r="M119" i="63"/>
  <c r="H119" i="63"/>
  <c r="E119" i="63"/>
  <c r="M118" i="63"/>
  <c r="H118" i="63"/>
  <c r="E118" i="63"/>
  <c r="M117" i="63"/>
  <c r="H117" i="63"/>
  <c r="E117" i="63"/>
  <c r="M116" i="63"/>
  <c r="H116" i="63"/>
  <c r="E116" i="63"/>
  <c r="M115" i="63"/>
  <c r="H115" i="63"/>
  <c r="E115" i="63"/>
  <c r="M114" i="63"/>
  <c r="H114" i="63"/>
  <c r="E114" i="63"/>
  <c r="M113" i="63"/>
  <c r="H113" i="63"/>
  <c r="E113" i="63"/>
  <c r="M112" i="63"/>
  <c r="H112" i="63"/>
  <c r="E112" i="63"/>
  <c r="M111" i="63"/>
  <c r="H111" i="63"/>
  <c r="E111" i="63"/>
  <c r="M110" i="63"/>
  <c r="H110" i="63"/>
  <c r="E110" i="63"/>
  <c r="D110" i="63" s="1"/>
  <c r="M109" i="63"/>
  <c r="H109" i="63"/>
  <c r="E109" i="63"/>
  <c r="M108" i="63"/>
  <c r="H108" i="63"/>
  <c r="E108" i="63"/>
  <c r="M107" i="63"/>
  <c r="H107" i="63"/>
  <c r="E107" i="63"/>
  <c r="M106" i="63"/>
  <c r="H106" i="63"/>
  <c r="E106" i="63"/>
  <c r="M105" i="63"/>
  <c r="H105" i="63"/>
  <c r="E105" i="63"/>
  <c r="M104" i="63"/>
  <c r="H104" i="63"/>
  <c r="E104" i="63"/>
  <c r="M103" i="63"/>
  <c r="H103" i="63"/>
  <c r="E103" i="63"/>
  <c r="M102" i="63"/>
  <c r="H102" i="63"/>
  <c r="E102" i="63"/>
  <c r="M101" i="63"/>
  <c r="H101" i="63"/>
  <c r="E101" i="63"/>
  <c r="M100" i="63"/>
  <c r="H100" i="63"/>
  <c r="E100" i="63"/>
  <c r="M99" i="63"/>
  <c r="H99" i="63"/>
  <c r="E99" i="63"/>
  <c r="M98" i="63"/>
  <c r="H98" i="63"/>
  <c r="E98" i="63"/>
  <c r="M97" i="63"/>
  <c r="H97" i="63"/>
  <c r="E97" i="63"/>
  <c r="M96" i="63"/>
  <c r="H96" i="63"/>
  <c r="E96" i="63"/>
  <c r="M95" i="63"/>
  <c r="H95" i="63"/>
  <c r="E95" i="63"/>
  <c r="M94" i="63"/>
  <c r="H94" i="63"/>
  <c r="E94" i="63"/>
  <c r="M93" i="63"/>
  <c r="H93" i="63"/>
  <c r="E93" i="63"/>
  <c r="M92" i="63"/>
  <c r="H92" i="63"/>
  <c r="E92" i="63"/>
  <c r="M91" i="63"/>
  <c r="H91" i="63"/>
  <c r="E91" i="63"/>
  <c r="M90" i="63"/>
  <c r="H90" i="63"/>
  <c r="E90" i="63"/>
  <c r="M89" i="63"/>
  <c r="H89" i="63"/>
  <c r="E89" i="63"/>
  <c r="M88" i="63"/>
  <c r="H88" i="63"/>
  <c r="E88" i="63"/>
  <c r="M87" i="63"/>
  <c r="H87" i="63"/>
  <c r="E87" i="63"/>
  <c r="M86" i="63"/>
  <c r="H86" i="63"/>
  <c r="E86" i="63"/>
  <c r="M85" i="63"/>
  <c r="H85" i="63"/>
  <c r="E85" i="63"/>
  <c r="M84" i="63"/>
  <c r="H84" i="63"/>
  <c r="E84" i="63"/>
  <c r="M83" i="63"/>
  <c r="H83" i="63"/>
  <c r="E83" i="63"/>
  <c r="M82" i="63"/>
  <c r="H82" i="63"/>
  <c r="E82" i="63"/>
  <c r="M81" i="63"/>
  <c r="H81" i="63"/>
  <c r="E81" i="63"/>
  <c r="M80" i="63"/>
  <c r="H80" i="63"/>
  <c r="E80" i="63"/>
  <c r="M79" i="63"/>
  <c r="H79" i="63"/>
  <c r="E79" i="63"/>
  <c r="M78" i="63"/>
  <c r="H78" i="63"/>
  <c r="E78" i="63"/>
  <c r="M77" i="63"/>
  <c r="H77" i="63"/>
  <c r="E77" i="63"/>
  <c r="M76" i="63"/>
  <c r="H76" i="63"/>
  <c r="E76" i="63"/>
  <c r="M75" i="63"/>
  <c r="H75" i="63"/>
  <c r="E75" i="63"/>
  <c r="M74" i="63"/>
  <c r="H74" i="63"/>
  <c r="E74" i="63"/>
  <c r="M73" i="63"/>
  <c r="H73" i="63"/>
  <c r="E73" i="63"/>
  <c r="M72" i="63"/>
  <c r="H72" i="63"/>
  <c r="E72" i="63"/>
  <c r="M71" i="63"/>
  <c r="H71" i="63"/>
  <c r="E71" i="63"/>
  <c r="M70" i="63"/>
  <c r="H70" i="63"/>
  <c r="E70" i="63"/>
  <c r="M69" i="63"/>
  <c r="H69" i="63"/>
  <c r="E69" i="63"/>
  <c r="M68" i="63"/>
  <c r="H68" i="63"/>
  <c r="E68" i="63"/>
  <c r="M67" i="63"/>
  <c r="H67" i="63"/>
  <c r="E67" i="63"/>
  <c r="M66" i="63"/>
  <c r="H66" i="63"/>
  <c r="E66" i="63"/>
  <c r="M65" i="63"/>
  <c r="H65" i="63"/>
  <c r="E65" i="63"/>
  <c r="M64" i="63"/>
  <c r="H64" i="63"/>
  <c r="E64" i="63"/>
  <c r="M63" i="63"/>
  <c r="H63" i="63"/>
  <c r="E63" i="63"/>
  <c r="M62" i="63"/>
  <c r="H62" i="63"/>
  <c r="E62" i="63"/>
  <c r="M61" i="63"/>
  <c r="H61" i="63"/>
  <c r="E61" i="63"/>
  <c r="M60" i="63"/>
  <c r="H60" i="63"/>
  <c r="E60" i="63"/>
  <c r="M59" i="63"/>
  <c r="H59" i="63"/>
  <c r="E59" i="63"/>
  <c r="M58" i="63"/>
  <c r="H58" i="63"/>
  <c r="E58" i="63"/>
  <c r="M57" i="63"/>
  <c r="H57" i="63"/>
  <c r="E57" i="63"/>
  <c r="M56" i="63"/>
  <c r="H56" i="63"/>
  <c r="E56" i="63"/>
  <c r="M55" i="63"/>
  <c r="H55" i="63"/>
  <c r="E55" i="63"/>
  <c r="M54" i="63"/>
  <c r="H54" i="63"/>
  <c r="E54" i="63"/>
  <c r="M53" i="63"/>
  <c r="H53" i="63"/>
  <c r="E53" i="63"/>
  <c r="M52" i="63"/>
  <c r="H52" i="63"/>
  <c r="E52" i="63"/>
  <c r="M51" i="63"/>
  <c r="H51" i="63"/>
  <c r="E51" i="63"/>
  <c r="M50" i="63"/>
  <c r="H50" i="63"/>
  <c r="E50" i="63"/>
  <c r="M49" i="63"/>
  <c r="H49" i="63"/>
  <c r="E49" i="63"/>
  <c r="M48" i="63"/>
  <c r="H48" i="63"/>
  <c r="E48" i="63"/>
  <c r="M47" i="63"/>
  <c r="H47" i="63"/>
  <c r="E47" i="63"/>
  <c r="M46" i="63"/>
  <c r="H46" i="63"/>
  <c r="E46" i="63"/>
  <c r="M45" i="63"/>
  <c r="H45" i="63"/>
  <c r="E45" i="63"/>
  <c r="M44" i="63"/>
  <c r="H44" i="63"/>
  <c r="E44" i="63"/>
  <c r="M43" i="63"/>
  <c r="H43" i="63"/>
  <c r="E43" i="63"/>
  <c r="M42" i="63"/>
  <c r="H42" i="63"/>
  <c r="E42" i="63"/>
  <c r="M41" i="63"/>
  <c r="H41" i="63"/>
  <c r="E41" i="63"/>
  <c r="M40" i="63"/>
  <c r="H40" i="63"/>
  <c r="E40" i="63"/>
  <c r="M39" i="63"/>
  <c r="H39" i="63"/>
  <c r="E39" i="63"/>
  <c r="M38" i="63"/>
  <c r="H38" i="63"/>
  <c r="E38" i="63"/>
  <c r="M37" i="63"/>
  <c r="H37" i="63"/>
  <c r="E37" i="63"/>
  <c r="M36" i="63"/>
  <c r="H36" i="63"/>
  <c r="E36" i="63"/>
  <c r="M35" i="63"/>
  <c r="H35" i="63"/>
  <c r="E35" i="63"/>
  <c r="M34" i="63"/>
  <c r="H34" i="63"/>
  <c r="E34" i="63"/>
  <c r="M33" i="63"/>
  <c r="H33" i="63"/>
  <c r="E33" i="63"/>
  <c r="M32" i="63"/>
  <c r="H32" i="63"/>
  <c r="E32" i="63"/>
  <c r="M31" i="63"/>
  <c r="H31" i="63"/>
  <c r="E31" i="63"/>
  <c r="M30" i="63"/>
  <c r="H30" i="63"/>
  <c r="E30" i="63"/>
  <c r="M29" i="63"/>
  <c r="H29" i="63"/>
  <c r="E29" i="63"/>
  <c r="M28" i="63"/>
  <c r="H28" i="63"/>
  <c r="E28" i="63"/>
  <c r="M27" i="63"/>
  <c r="H27" i="63"/>
  <c r="E27" i="63"/>
  <c r="M26" i="63"/>
  <c r="H26" i="63"/>
  <c r="E26" i="63"/>
  <c r="M25" i="63"/>
  <c r="H25" i="63"/>
  <c r="E25" i="63"/>
  <c r="M24" i="63"/>
  <c r="H24" i="63"/>
  <c r="E24" i="63"/>
  <c r="M23" i="63"/>
  <c r="H23" i="63"/>
  <c r="E23" i="63"/>
  <c r="M22" i="63"/>
  <c r="H22" i="63"/>
  <c r="E22" i="63"/>
  <c r="M21" i="63"/>
  <c r="H21" i="63"/>
  <c r="E21" i="63"/>
  <c r="D21" i="63" s="1"/>
  <c r="M20" i="63"/>
  <c r="H20" i="63"/>
  <c r="E20" i="63"/>
  <c r="M19" i="63"/>
  <c r="H19" i="63"/>
  <c r="E19" i="63"/>
  <c r="M18" i="63"/>
  <c r="H18" i="63"/>
  <c r="E18" i="63"/>
  <c r="M17" i="63"/>
  <c r="H17" i="63"/>
  <c r="E17" i="63"/>
  <c r="M16" i="63"/>
  <c r="H16" i="63"/>
  <c r="E16" i="63"/>
  <c r="M15" i="63"/>
  <c r="H15" i="63"/>
  <c r="E15" i="63"/>
  <c r="M14" i="63"/>
  <c r="H14" i="63"/>
  <c r="E14" i="63"/>
  <c r="M13" i="63"/>
  <c r="H13" i="63"/>
  <c r="E13" i="63"/>
  <c r="M12" i="63"/>
  <c r="H12" i="63"/>
  <c r="E12" i="63"/>
  <c r="M11" i="63"/>
  <c r="H11" i="63"/>
  <c r="E11" i="63"/>
  <c r="R10" i="63"/>
  <c r="R8" i="63" s="1"/>
  <c r="Q10" i="63"/>
  <c r="Q8" i="63" s="1"/>
  <c r="P10" i="63"/>
  <c r="P8" i="63" s="1"/>
  <c r="O10" i="63"/>
  <c r="O8" i="63" s="1"/>
  <c r="N10" i="63"/>
  <c r="N8" i="63" s="1"/>
  <c r="L10" i="63"/>
  <c r="L8" i="63" s="1"/>
  <c r="K10" i="63"/>
  <c r="K8" i="63" s="1"/>
  <c r="J10" i="63"/>
  <c r="J8" i="63" s="1"/>
  <c r="I10" i="63"/>
  <c r="G10" i="63"/>
  <c r="G8" i="63" s="1"/>
  <c r="F10" i="63"/>
  <c r="F8" i="63" s="1"/>
  <c r="M9" i="63"/>
  <c r="E9" i="63"/>
  <c r="D25" i="63" l="1"/>
  <c r="D45" i="63"/>
  <c r="D57" i="63"/>
  <c r="D61" i="63"/>
  <c r="D69" i="63"/>
  <c r="D77" i="63"/>
  <c r="D14" i="63"/>
  <c r="D9" i="63"/>
  <c r="D75" i="63"/>
  <c r="D15" i="63"/>
  <c r="D40" i="63"/>
  <c r="D11" i="63"/>
  <c r="D83" i="63"/>
  <c r="D33" i="63"/>
  <c r="D41" i="63"/>
  <c r="E10" i="63"/>
  <c r="D122" i="63"/>
  <c r="D146" i="63"/>
  <c r="D59" i="63"/>
  <c r="D88" i="63"/>
  <c r="D112" i="63"/>
  <c r="D38" i="63"/>
  <c r="D99" i="63"/>
  <c r="D107" i="63"/>
  <c r="D115" i="63"/>
  <c r="D131" i="63"/>
  <c r="D81" i="63"/>
  <c r="D86" i="63"/>
  <c r="D63" i="63"/>
  <c r="D71" i="63"/>
  <c r="D100" i="63"/>
  <c r="D34" i="63"/>
  <c r="D39" i="63"/>
  <c r="D50" i="63"/>
  <c r="D87" i="63"/>
  <c r="D95" i="63"/>
  <c r="D111" i="63"/>
  <c r="D119" i="63"/>
  <c r="D135" i="63"/>
  <c r="D143" i="63"/>
  <c r="D148" i="63"/>
  <c r="D12" i="63"/>
  <c r="D16" i="63"/>
  <c r="D28" i="63"/>
  <c r="D55" i="63"/>
  <c r="D79" i="63"/>
  <c r="D20" i="63"/>
  <c r="D36" i="63"/>
  <c r="D48" i="63"/>
  <c r="D64" i="63"/>
  <c r="D91" i="63"/>
  <c r="D67" i="63"/>
  <c r="D56" i="63"/>
  <c r="D68" i="63"/>
  <c r="D84" i="63"/>
  <c r="D80" i="63"/>
  <c r="D127" i="63"/>
  <c r="D44" i="63"/>
  <c r="D104" i="63"/>
  <c r="D123" i="63"/>
  <c r="D139" i="63"/>
  <c r="D134" i="63"/>
  <c r="D93" i="63"/>
  <c r="D97" i="63"/>
  <c r="D105" i="63"/>
  <c r="D124" i="63"/>
  <c r="D136" i="63"/>
  <c r="D103" i="63"/>
  <c r="D26" i="63"/>
  <c r="D70" i="63"/>
  <c r="D74" i="63"/>
  <c r="D116" i="63"/>
  <c r="D23" i="63"/>
  <c r="D27" i="63"/>
  <c r="D35" i="63"/>
  <c r="D113" i="63"/>
  <c r="D117" i="63"/>
  <c r="D121" i="63"/>
  <c r="D132" i="63"/>
  <c r="D140" i="63"/>
  <c r="D51" i="63"/>
  <c r="D19" i="63"/>
  <c r="D31" i="63"/>
  <c r="D43" i="63"/>
  <c r="D47" i="63"/>
  <c r="D62" i="63"/>
  <c r="D98" i="63"/>
  <c r="D106" i="63"/>
  <c r="D129" i="63"/>
  <c r="D141" i="63"/>
  <c r="D52" i="63"/>
  <c r="D120" i="63"/>
  <c r="D13" i="63"/>
  <c r="D49" i="63"/>
  <c r="D85" i="63"/>
  <c r="D42" i="63"/>
  <c r="D78" i="63"/>
  <c r="D114" i="63"/>
  <c r="D17" i="63"/>
  <c r="D24" i="63"/>
  <c r="D46" i="63"/>
  <c r="D53" i="63"/>
  <c r="D60" i="63"/>
  <c r="D82" i="63"/>
  <c r="D89" i="63"/>
  <c r="D92" i="63"/>
  <c r="D96" i="63"/>
  <c r="D118" i="63"/>
  <c r="D125" i="63"/>
  <c r="D128" i="63"/>
  <c r="D133" i="63"/>
  <c r="D18" i="63"/>
  <c r="D54" i="63"/>
  <c r="D90" i="63"/>
  <c r="D126" i="63"/>
  <c r="D22" i="63"/>
  <c r="D29" i="63"/>
  <c r="D32" i="63"/>
  <c r="D58" i="63"/>
  <c r="D65" i="63"/>
  <c r="D72" i="63"/>
  <c r="D94" i="63"/>
  <c r="D101" i="63"/>
  <c r="D108" i="63"/>
  <c r="D130" i="63"/>
  <c r="D137" i="63"/>
  <c r="D144" i="63"/>
  <c r="D76" i="63"/>
  <c r="H10" i="63"/>
  <c r="D37" i="63"/>
  <c r="D73" i="63"/>
  <c r="D109" i="63"/>
  <c r="D145" i="63"/>
  <c r="E8" i="63"/>
  <c r="D30" i="63"/>
  <c r="D66" i="63"/>
  <c r="D102" i="63"/>
  <c r="D138" i="63"/>
  <c r="M8" i="63"/>
  <c r="M10" i="63"/>
  <c r="I8" i="63"/>
  <c r="D10" i="63" l="1"/>
  <c r="H8" i="63"/>
  <c r="D8" i="63" l="1"/>
  <c r="E148" i="60" l="1"/>
  <c r="D148" i="60"/>
  <c r="E147" i="60"/>
  <c r="D147" i="60"/>
  <c r="E146" i="60"/>
  <c r="D146" i="60"/>
  <c r="E145" i="60"/>
  <c r="D145" i="60"/>
  <c r="E144" i="60"/>
  <c r="D144" i="60"/>
  <c r="E143" i="60"/>
  <c r="D143" i="60"/>
  <c r="E142" i="60"/>
  <c r="D142" i="60"/>
  <c r="E141" i="60"/>
  <c r="D141" i="60"/>
  <c r="E140" i="60"/>
  <c r="D140" i="60"/>
  <c r="L139" i="60"/>
  <c r="D139" i="60" s="1"/>
  <c r="E139" i="60"/>
  <c r="L138" i="60"/>
  <c r="D138" i="60" s="1"/>
  <c r="E138" i="60"/>
  <c r="E137" i="60"/>
  <c r="D137" i="60"/>
  <c r="E136" i="60"/>
  <c r="D136" i="60"/>
  <c r="E135" i="60"/>
  <c r="D135" i="60"/>
  <c r="E134" i="60"/>
  <c r="D134" i="60"/>
  <c r="E133" i="60"/>
  <c r="D133" i="60"/>
  <c r="E132" i="60"/>
  <c r="D132" i="60"/>
  <c r="E131" i="60"/>
  <c r="D131" i="60"/>
  <c r="E130" i="60"/>
  <c r="D130" i="60"/>
  <c r="E129" i="60"/>
  <c r="D129" i="60"/>
  <c r="E128" i="60"/>
  <c r="D128" i="60"/>
  <c r="E127" i="60"/>
  <c r="D127" i="60"/>
  <c r="E126" i="60"/>
  <c r="D126" i="60"/>
  <c r="E125" i="60"/>
  <c r="D125" i="60"/>
  <c r="E124" i="60"/>
  <c r="D124" i="60"/>
  <c r="E123" i="60"/>
  <c r="D123" i="60"/>
  <c r="E122" i="60"/>
  <c r="D122" i="60"/>
  <c r="E121" i="60"/>
  <c r="D121" i="60"/>
  <c r="E120" i="60"/>
  <c r="D120" i="60"/>
  <c r="E119" i="60"/>
  <c r="D119" i="60"/>
  <c r="E118" i="60"/>
  <c r="D118" i="60"/>
  <c r="E117" i="60"/>
  <c r="D117" i="60"/>
  <c r="E116" i="60"/>
  <c r="D116" i="60"/>
  <c r="E115" i="60"/>
  <c r="D115" i="60"/>
  <c r="E114" i="60"/>
  <c r="D114" i="60"/>
  <c r="E113" i="60"/>
  <c r="D113" i="60"/>
  <c r="E112" i="60"/>
  <c r="D112" i="60"/>
  <c r="E111" i="60"/>
  <c r="D111" i="60"/>
  <c r="E110" i="60"/>
  <c r="D110" i="60"/>
  <c r="E109" i="60"/>
  <c r="D109" i="60"/>
  <c r="E108" i="60"/>
  <c r="D108" i="60"/>
  <c r="E107" i="60"/>
  <c r="D107" i="60"/>
  <c r="E106" i="60"/>
  <c r="D106" i="60"/>
  <c r="E105" i="60"/>
  <c r="D105" i="60"/>
  <c r="E104" i="60"/>
  <c r="D104" i="60"/>
  <c r="E103" i="60"/>
  <c r="D103" i="60"/>
  <c r="E102" i="60"/>
  <c r="D102" i="60"/>
  <c r="M101" i="60"/>
  <c r="E101" i="60" s="1"/>
  <c r="E100" i="60"/>
  <c r="D100" i="60"/>
  <c r="E99" i="60"/>
  <c r="D99" i="60"/>
  <c r="E98" i="60"/>
  <c r="D98" i="60"/>
  <c r="E97" i="60"/>
  <c r="D97" i="60"/>
  <c r="E96" i="60"/>
  <c r="D96" i="60"/>
  <c r="L95" i="60"/>
  <c r="D95" i="60" s="1"/>
  <c r="E95" i="60"/>
  <c r="L94" i="60"/>
  <c r="D94" i="60" s="1"/>
  <c r="E94" i="60"/>
  <c r="E93" i="60"/>
  <c r="D93" i="60"/>
  <c r="E92" i="60"/>
  <c r="D92" i="60"/>
  <c r="E91" i="60"/>
  <c r="D91" i="60"/>
  <c r="E90" i="60"/>
  <c r="D90" i="60"/>
  <c r="E89" i="60"/>
  <c r="D89" i="60"/>
  <c r="E88" i="60"/>
  <c r="D88" i="60"/>
  <c r="E87" i="60"/>
  <c r="D87" i="60"/>
  <c r="L86" i="60"/>
  <c r="D86" i="60" s="1"/>
  <c r="E86" i="60"/>
  <c r="M85" i="60"/>
  <c r="E85" i="60" s="1"/>
  <c r="L84" i="60"/>
  <c r="D84" i="60" s="1"/>
  <c r="E84" i="60"/>
  <c r="L83" i="60"/>
  <c r="D83" i="60" s="1"/>
  <c r="E83" i="60"/>
  <c r="L82" i="60"/>
  <c r="D82" i="60" s="1"/>
  <c r="E82" i="60"/>
  <c r="L81" i="60"/>
  <c r="D81" i="60" s="1"/>
  <c r="E81" i="60"/>
  <c r="L80" i="60"/>
  <c r="D80" i="60" s="1"/>
  <c r="E80" i="60"/>
  <c r="E79" i="60"/>
  <c r="D79" i="60"/>
  <c r="E78" i="60"/>
  <c r="D78" i="60"/>
  <c r="E77" i="60"/>
  <c r="D77" i="60"/>
  <c r="E76" i="60"/>
  <c r="D76" i="60"/>
  <c r="E75" i="60"/>
  <c r="D75" i="60"/>
  <c r="E74" i="60"/>
  <c r="D74" i="60"/>
  <c r="E73" i="60"/>
  <c r="D73" i="60"/>
  <c r="L72" i="60"/>
  <c r="D72" i="60" s="1"/>
  <c r="E72" i="60"/>
  <c r="L71" i="60"/>
  <c r="J71" i="60"/>
  <c r="F71" i="60"/>
  <c r="F10" i="60" s="1"/>
  <c r="E71" i="60"/>
  <c r="L70" i="60"/>
  <c r="D70" i="60" s="1"/>
  <c r="E70" i="60"/>
  <c r="E69" i="60"/>
  <c r="D69" i="60"/>
  <c r="E68" i="60"/>
  <c r="D68" i="60"/>
  <c r="E67" i="60"/>
  <c r="D67" i="60"/>
  <c r="M66" i="60"/>
  <c r="E66" i="60" s="1"/>
  <c r="E65" i="60"/>
  <c r="D65" i="60"/>
  <c r="M64" i="60"/>
  <c r="G64" i="60"/>
  <c r="G10" i="60" s="1"/>
  <c r="M63" i="60"/>
  <c r="E63" i="60" s="1"/>
  <c r="E62" i="60"/>
  <c r="D62" i="60"/>
  <c r="E61" i="60"/>
  <c r="D61" i="60"/>
  <c r="E60" i="60"/>
  <c r="D60" i="60"/>
  <c r="M59" i="60"/>
  <c r="K59" i="60"/>
  <c r="M58" i="60"/>
  <c r="E58" i="60" s="1"/>
  <c r="E57" i="60"/>
  <c r="D57" i="60"/>
  <c r="E56" i="60"/>
  <c r="D56" i="60"/>
  <c r="E55" i="60"/>
  <c r="D55" i="60"/>
  <c r="E54" i="60"/>
  <c r="D54" i="60"/>
  <c r="M53" i="60"/>
  <c r="E53" i="60" s="1"/>
  <c r="M52" i="60"/>
  <c r="E52" i="60" s="1"/>
  <c r="M51" i="60"/>
  <c r="E51" i="60" s="1"/>
  <c r="M50" i="60"/>
  <c r="E50" i="60" s="1"/>
  <c r="E49" i="60"/>
  <c r="D49" i="60"/>
  <c r="E48" i="60"/>
  <c r="D48" i="60"/>
  <c r="E47" i="60"/>
  <c r="D47" i="60"/>
  <c r="E46" i="60"/>
  <c r="D46" i="60"/>
  <c r="M45" i="60"/>
  <c r="E45" i="60" s="1"/>
  <c r="M44" i="60"/>
  <c r="E44" i="60" s="1"/>
  <c r="M43" i="60"/>
  <c r="E43" i="60" s="1"/>
  <c r="M42" i="60"/>
  <c r="E42" i="60" s="1"/>
  <c r="E41" i="60"/>
  <c r="D41" i="60"/>
  <c r="E40" i="60"/>
  <c r="D40" i="60"/>
  <c r="M39" i="60"/>
  <c r="E39" i="60" s="1"/>
  <c r="E38" i="60"/>
  <c r="D38" i="60"/>
  <c r="E37" i="60"/>
  <c r="D37" i="60"/>
  <c r="M36" i="60"/>
  <c r="K36" i="60"/>
  <c r="M35" i="60"/>
  <c r="E35" i="60" s="1"/>
  <c r="L35" i="60"/>
  <c r="J35" i="60"/>
  <c r="E34" i="60"/>
  <c r="D34" i="60"/>
  <c r="E33" i="60"/>
  <c r="D33" i="60"/>
  <c r="E32" i="60"/>
  <c r="D32" i="60"/>
  <c r="M31" i="60"/>
  <c r="E31" i="60" s="1"/>
  <c r="M30" i="60"/>
  <c r="D30" i="60" s="1"/>
  <c r="E29" i="60"/>
  <c r="D29" i="60"/>
  <c r="E28" i="60"/>
  <c r="D28" i="60"/>
  <c r="M27" i="60"/>
  <c r="K27" i="60"/>
  <c r="E26" i="60"/>
  <c r="D26" i="60"/>
  <c r="E25" i="60"/>
  <c r="D25" i="60"/>
  <c r="E24" i="60"/>
  <c r="D24" i="60"/>
  <c r="E23" i="60"/>
  <c r="D23" i="60"/>
  <c r="E22" i="60"/>
  <c r="D22" i="60"/>
  <c r="E21" i="60"/>
  <c r="D21" i="60"/>
  <c r="E20" i="60"/>
  <c r="D20" i="60"/>
  <c r="E19" i="60"/>
  <c r="D19" i="60"/>
  <c r="E18" i="60"/>
  <c r="D18" i="60"/>
  <c r="M17" i="60"/>
  <c r="E17" i="60" s="1"/>
  <c r="E16" i="60"/>
  <c r="D16" i="60"/>
  <c r="E15" i="60"/>
  <c r="D15" i="60"/>
  <c r="E14" i="60"/>
  <c r="D14" i="60"/>
  <c r="M13" i="60"/>
  <c r="K13" i="60"/>
  <c r="E12" i="60"/>
  <c r="D12" i="60"/>
  <c r="E11" i="60"/>
  <c r="D11" i="60"/>
  <c r="I10" i="60"/>
  <c r="I8" i="60" s="1"/>
  <c r="H10" i="60"/>
  <c r="H8" i="60" s="1"/>
  <c r="E9" i="60"/>
  <c r="D9" i="60"/>
  <c r="E27" i="60" l="1"/>
  <c r="D85" i="60"/>
  <c r="E30" i="60"/>
  <c r="E59" i="60"/>
  <c r="D64" i="60"/>
  <c r="M10" i="60"/>
  <c r="M8" i="60" s="1"/>
  <c r="D35" i="60"/>
  <c r="K10" i="60"/>
  <c r="K8" i="60" s="1"/>
  <c r="E36" i="60"/>
  <c r="D71" i="60"/>
  <c r="D17" i="60"/>
  <c r="E13" i="60"/>
  <c r="E64" i="60"/>
  <c r="D27" i="60"/>
  <c r="D13" i="60"/>
  <c r="D31" i="60"/>
  <c r="D44" i="60"/>
  <c r="D51" i="60"/>
  <c r="D58" i="60"/>
  <c r="J10" i="60"/>
  <c r="J8" i="60" s="1"/>
  <c r="L10" i="60"/>
  <c r="L8" i="60" s="1"/>
  <c r="D42" i="60"/>
  <c r="D45" i="60"/>
  <c r="D52" i="60"/>
  <c r="D59" i="60"/>
  <c r="D39" i="60"/>
  <c r="D63" i="60"/>
  <c r="D66" i="60"/>
  <c r="D101" i="60"/>
  <c r="F8" i="60"/>
  <c r="D36" i="60"/>
  <c r="G8" i="60"/>
  <c r="D43" i="60"/>
  <c r="D50" i="60"/>
  <c r="D53" i="60"/>
  <c r="E10" i="60" l="1"/>
  <c r="E8" i="60" s="1"/>
  <c r="D10" i="60"/>
  <c r="D8" i="60" l="1"/>
  <c r="L9" i="41" l="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L28" i="41"/>
  <c r="L29" i="41"/>
  <c r="L30" i="41"/>
  <c r="L31" i="41"/>
  <c r="L32" i="41"/>
  <c r="L33" i="41"/>
  <c r="L34" i="41"/>
  <c r="L35" i="41"/>
  <c r="L36" i="41"/>
  <c r="L37" i="41"/>
  <c r="L38" i="41"/>
  <c r="L39" i="41"/>
  <c r="L40" i="41"/>
  <c r="L41" i="41"/>
  <c r="L42" i="41"/>
  <c r="L43" i="41"/>
  <c r="L44" i="41"/>
  <c r="L45" i="41"/>
  <c r="L46" i="41"/>
  <c r="L47" i="41"/>
  <c r="L48" i="41"/>
  <c r="L49" i="41"/>
  <c r="L50" i="41"/>
  <c r="L51" i="41"/>
  <c r="L52" i="41"/>
  <c r="L53" i="41"/>
  <c r="L54" i="41"/>
  <c r="L55" i="41"/>
  <c r="L56" i="41"/>
  <c r="L8" i="41"/>
  <c r="H9" i="41"/>
  <c r="H10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8" i="41"/>
  <c r="F143" i="56" l="1"/>
  <c r="L142" i="56"/>
  <c r="L145" i="56" s="1"/>
  <c r="K142" i="56"/>
  <c r="K145" i="56" s="1"/>
  <c r="J142" i="56"/>
  <c r="J145" i="56" s="1"/>
  <c r="I142" i="56"/>
  <c r="I145" i="56" s="1"/>
  <c r="H142" i="56"/>
  <c r="H145" i="56" s="1"/>
  <c r="G142" i="56"/>
  <c r="G145" i="56" s="1"/>
  <c r="D141" i="56"/>
  <c r="D140" i="56"/>
  <c r="D134" i="56"/>
  <c r="D132" i="56"/>
  <c r="D131" i="56"/>
  <c r="D130" i="56"/>
  <c r="D129" i="56"/>
  <c r="D128" i="56"/>
  <c r="D127" i="56"/>
  <c r="E126" i="56"/>
  <c r="D126" i="56" s="1"/>
  <c r="D125" i="56"/>
  <c r="E124" i="56"/>
  <c r="D124" i="56" s="1"/>
  <c r="D123" i="56"/>
  <c r="D122" i="56"/>
  <c r="D121" i="56"/>
  <c r="D120" i="56"/>
  <c r="D118" i="56"/>
  <c r="D115" i="56"/>
  <c r="D114" i="56"/>
  <c r="D113" i="56"/>
  <c r="D111" i="56"/>
  <c r="D109" i="56"/>
  <c r="D107" i="56"/>
  <c r="D106" i="56"/>
  <c r="D105" i="56"/>
  <c r="D104" i="56"/>
  <c r="D102" i="56"/>
  <c r="D101" i="56"/>
  <c r="D100" i="56"/>
  <c r="D99" i="56"/>
  <c r="D98" i="56"/>
  <c r="D97" i="56"/>
  <c r="D96" i="56"/>
  <c r="D95" i="56"/>
  <c r="D94" i="56"/>
  <c r="D93" i="56"/>
  <c r="D92" i="56"/>
  <c r="D91" i="56"/>
  <c r="D90" i="56"/>
  <c r="D89" i="56"/>
  <c r="D88" i="56"/>
  <c r="D87" i="56"/>
  <c r="D86" i="56"/>
  <c r="D84" i="56"/>
  <c r="D82" i="56"/>
  <c r="D81" i="56"/>
  <c r="D80" i="56"/>
  <c r="D79" i="56"/>
  <c r="D78" i="56"/>
  <c r="D77" i="56"/>
  <c r="D76" i="56"/>
  <c r="D75" i="56"/>
  <c r="F67" i="56"/>
  <c r="F142" i="56" s="1"/>
  <c r="D67" i="56"/>
  <c r="D66" i="56"/>
  <c r="D65" i="56"/>
  <c r="D62" i="56"/>
  <c r="D61" i="56"/>
  <c r="D60" i="56"/>
  <c r="D59" i="56"/>
  <c r="D58" i="56"/>
  <c r="D57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1" i="56"/>
  <c r="D30" i="56"/>
  <c r="D29" i="56"/>
  <c r="D27" i="56"/>
  <c r="D26" i="56"/>
  <c r="D25" i="56"/>
  <c r="D24" i="56"/>
  <c r="D23" i="56"/>
  <c r="D22" i="56"/>
  <c r="D21" i="56"/>
  <c r="D20" i="56"/>
  <c r="D19" i="56"/>
  <c r="D17" i="56"/>
  <c r="D16" i="56"/>
  <c r="D15" i="56"/>
  <c r="D14" i="56"/>
  <c r="D13" i="56"/>
  <c r="D12" i="56"/>
  <c r="D11" i="56"/>
  <c r="D10" i="56"/>
  <c r="D9" i="56"/>
  <c r="D8" i="56"/>
  <c r="D7" i="56"/>
  <c r="D6" i="56"/>
  <c r="F145" i="56" l="1"/>
  <c r="E142" i="56"/>
  <c r="E145" i="56" s="1"/>
  <c r="D142" i="56"/>
  <c r="D145" i="56" s="1"/>
  <c r="D22" i="55" l="1"/>
  <c r="R21" i="55"/>
  <c r="R23" i="55" s="1"/>
  <c r="Q21" i="55"/>
  <c r="Q23" i="55" s="1"/>
  <c r="P21" i="55"/>
  <c r="P23" i="55" s="1"/>
  <c r="N21" i="55"/>
  <c r="N23" i="55" s="1"/>
  <c r="L21" i="55"/>
  <c r="L23" i="55" s="1"/>
  <c r="K21" i="55"/>
  <c r="K23" i="55" s="1"/>
  <c r="J21" i="55"/>
  <c r="J23" i="55" s="1"/>
  <c r="I21" i="55"/>
  <c r="I23" i="55" s="1"/>
  <c r="H21" i="55"/>
  <c r="H23" i="55" s="1"/>
  <c r="F21" i="55"/>
  <c r="F23" i="55" s="1"/>
  <c r="E21" i="55"/>
  <c r="E23" i="55" s="1"/>
  <c r="O20" i="55"/>
  <c r="D20" i="55" s="1"/>
  <c r="O19" i="55"/>
  <c r="D19" i="55" s="1"/>
  <c r="O18" i="55"/>
  <c r="D18" i="55" s="1"/>
  <c r="D17" i="55"/>
  <c r="D16" i="55"/>
  <c r="D15" i="55"/>
  <c r="D14" i="55"/>
  <c r="D13" i="55"/>
  <c r="D12" i="55"/>
  <c r="D11" i="55"/>
  <c r="G10" i="55"/>
  <c r="D10" i="55" s="1"/>
  <c r="D9" i="55"/>
  <c r="M8" i="55"/>
  <c r="M21" i="55" s="1"/>
  <c r="M23" i="55" s="1"/>
  <c r="D8" i="55" l="1"/>
  <c r="D21" i="55" s="1"/>
  <c r="D23" i="55" s="1"/>
  <c r="G21" i="55"/>
  <c r="G23" i="55" s="1"/>
  <c r="O21" i="55"/>
  <c r="O23" i="55" s="1"/>
  <c r="E81" i="53" l="1"/>
  <c r="D81" i="53" s="1"/>
  <c r="E80" i="53"/>
  <c r="D80" i="53" s="1"/>
  <c r="E79" i="53"/>
  <c r="D79" i="53" s="1"/>
  <c r="E78" i="53"/>
  <c r="D78" i="53" s="1"/>
  <c r="E77" i="53"/>
  <c r="D77" i="53" s="1"/>
  <c r="E76" i="53"/>
  <c r="D76" i="53" s="1"/>
  <c r="E75" i="53"/>
  <c r="D75" i="53" s="1"/>
  <c r="E74" i="53"/>
  <c r="D74" i="53" s="1"/>
  <c r="E73" i="53"/>
  <c r="D73" i="53" s="1"/>
  <c r="E72" i="53"/>
  <c r="D72" i="53" s="1"/>
  <c r="E71" i="53"/>
  <c r="D71" i="53" s="1"/>
  <c r="E70" i="53"/>
  <c r="D70" i="53" s="1"/>
  <c r="E69" i="53"/>
  <c r="D69" i="53" s="1"/>
  <c r="E68" i="53"/>
  <c r="D68" i="53" s="1"/>
  <c r="E67" i="53"/>
  <c r="D67" i="53" s="1"/>
  <c r="E66" i="53"/>
  <c r="D66" i="53" s="1"/>
  <c r="E65" i="53"/>
  <c r="D65" i="53" s="1"/>
  <c r="E64" i="53"/>
  <c r="D64" i="53" s="1"/>
  <c r="E63" i="53"/>
  <c r="D63" i="53" s="1"/>
  <c r="E62" i="53"/>
  <c r="D62" i="53" s="1"/>
  <c r="E61" i="53"/>
  <c r="D61" i="53" s="1"/>
  <c r="E60" i="53"/>
  <c r="D60" i="53" s="1"/>
  <c r="E59" i="53"/>
  <c r="D59" i="53" s="1"/>
  <c r="E58" i="53"/>
  <c r="D58" i="53" s="1"/>
  <c r="E57" i="53"/>
  <c r="D57" i="53" s="1"/>
  <c r="E56" i="53"/>
  <c r="D56" i="53" s="1"/>
  <c r="E55" i="53"/>
  <c r="D55" i="53" s="1"/>
  <c r="E54" i="53"/>
  <c r="D54" i="53" s="1"/>
  <c r="E53" i="53"/>
  <c r="D53" i="53" s="1"/>
  <c r="E52" i="53"/>
  <c r="D52" i="53" s="1"/>
  <c r="E51" i="53"/>
  <c r="D51" i="53" s="1"/>
  <c r="E50" i="53"/>
  <c r="D50" i="53" s="1"/>
  <c r="E49" i="53"/>
  <c r="D49" i="53" s="1"/>
  <c r="E48" i="53"/>
  <c r="D48" i="53" s="1"/>
  <c r="E47" i="53"/>
  <c r="D47" i="53" s="1"/>
  <c r="E46" i="53"/>
  <c r="D46" i="53" s="1"/>
  <c r="E45" i="53"/>
  <c r="D45" i="53" s="1"/>
  <c r="E44" i="53"/>
  <c r="D44" i="53" s="1"/>
  <c r="E43" i="53"/>
  <c r="D43" i="53" s="1"/>
  <c r="E42" i="53"/>
  <c r="D42" i="53" s="1"/>
  <c r="E41" i="53"/>
  <c r="D41" i="53" s="1"/>
  <c r="E40" i="53"/>
  <c r="D40" i="53" s="1"/>
  <c r="E39" i="53"/>
  <c r="D39" i="53" s="1"/>
  <c r="E38" i="53"/>
  <c r="D38" i="53" s="1"/>
  <c r="E37" i="53"/>
  <c r="D37" i="53" s="1"/>
  <c r="E36" i="53"/>
  <c r="D36" i="53" s="1"/>
  <c r="E35" i="53"/>
  <c r="D35" i="53" s="1"/>
  <c r="E34" i="53"/>
  <c r="D34" i="53" s="1"/>
  <c r="E33" i="53"/>
  <c r="D33" i="53" s="1"/>
  <c r="E32" i="53"/>
  <c r="D32" i="53" s="1"/>
  <c r="E31" i="53"/>
  <c r="D31" i="53" s="1"/>
  <c r="E30" i="53"/>
  <c r="D30" i="53" s="1"/>
  <c r="E29" i="53"/>
  <c r="D29" i="53" s="1"/>
  <c r="E28" i="53"/>
  <c r="D28" i="53" s="1"/>
  <c r="E27" i="53"/>
  <c r="D27" i="53" s="1"/>
  <c r="E26" i="53"/>
  <c r="D26" i="53" s="1"/>
  <c r="E25" i="53"/>
  <c r="D25" i="53" s="1"/>
  <c r="E24" i="53"/>
  <c r="D24" i="53" s="1"/>
  <c r="E23" i="53"/>
  <c r="D23" i="53" s="1"/>
  <c r="E22" i="53"/>
  <c r="D22" i="53" s="1"/>
  <c r="E21" i="53"/>
  <c r="D21" i="53" s="1"/>
  <c r="E20" i="53"/>
  <c r="D20" i="53" s="1"/>
  <c r="E19" i="53"/>
  <c r="D19" i="53" s="1"/>
  <c r="E18" i="53"/>
  <c r="D18" i="53" s="1"/>
  <c r="E17" i="53"/>
  <c r="D17" i="53" s="1"/>
  <c r="E16" i="53"/>
  <c r="D16" i="53" s="1"/>
  <c r="E15" i="53"/>
  <c r="D15" i="53" s="1"/>
  <c r="E14" i="53"/>
  <c r="D14" i="53" s="1"/>
  <c r="E13" i="53"/>
  <c r="D13" i="53" s="1"/>
  <c r="E12" i="53"/>
  <c r="D12" i="53" s="1"/>
  <c r="E11" i="53"/>
  <c r="D11" i="53" s="1"/>
  <c r="E10" i="53"/>
  <c r="D10" i="53" s="1"/>
  <c r="E9" i="53"/>
  <c r="D9" i="53" s="1"/>
  <c r="H8" i="53"/>
  <c r="G8" i="53"/>
  <c r="F8" i="53"/>
  <c r="E8" i="53" l="1"/>
  <c r="D8" i="53" s="1"/>
  <c r="F150" i="49" l="1"/>
  <c r="D150" i="49" s="1"/>
  <c r="F149" i="49"/>
  <c r="D149" i="49" s="1"/>
  <c r="F148" i="49"/>
  <c r="D148" i="49" s="1"/>
  <c r="F147" i="49"/>
  <c r="D147" i="49" s="1"/>
  <c r="F146" i="49"/>
  <c r="D146" i="49" s="1"/>
  <c r="F145" i="49"/>
  <c r="D145" i="49" s="1"/>
  <c r="F144" i="49"/>
  <c r="D144" i="49" s="1"/>
  <c r="F143" i="49"/>
  <c r="D143" i="49" s="1"/>
  <c r="F142" i="49"/>
  <c r="D142" i="49" s="1"/>
  <c r="F141" i="49"/>
  <c r="D141" i="49" s="1"/>
  <c r="F140" i="49"/>
  <c r="D140" i="49" s="1"/>
  <c r="F139" i="49"/>
  <c r="D139" i="49" s="1"/>
  <c r="F138" i="49"/>
  <c r="D138" i="49" s="1"/>
  <c r="F137" i="49"/>
  <c r="D137" i="49" s="1"/>
  <c r="F136" i="49"/>
  <c r="D136" i="49" s="1"/>
  <c r="F135" i="49"/>
  <c r="D135" i="49" s="1"/>
  <c r="F134" i="49"/>
  <c r="D134" i="49" s="1"/>
  <c r="F133" i="49"/>
  <c r="D133" i="49" s="1"/>
  <c r="F132" i="49"/>
  <c r="D132" i="49" s="1"/>
  <c r="F131" i="49"/>
  <c r="D131" i="49" s="1"/>
  <c r="F130" i="49"/>
  <c r="D130" i="49" s="1"/>
  <c r="F129" i="49"/>
  <c r="D129" i="49" s="1"/>
  <c r="F128" i="49"/>
  <c r="D128" i="49" s="1"/>
  <c r="F127" i="49"/>
  <c r="D127" i="49" s="1"/>
  <c r="F126" i="49"/>
  <c r="D126" i="49" s="1"/>
  <c r="F125" i="49"/>
  <c r="D125" i="49" s="1"/>
  <c r="F124" i="49"/>
  <c r="D124" i="49" s="1"/>
  <c r="F123" i="49"/>
  <c r="D123" i="49" s="1"/>
  <c r="F122" i="49"/>
  <c r="D122" i="49" s="1"/>
  <c r="F121" i="49"/>
  <c r="D121" i="49" s="1"/>
  <c r="F120" i="49"/>
  <c r="D120" i="49" s="1"/>
  <c r="F119" i="49"/>
  <c r="E119" i="49"/>
  <c r="F118" i="49"/>
  <c r="D118" i="49" s="1"/>
  <c r="F117" i="49"/>
  <c r="D117" i="49" s="1"/>
  <c r="F116" i="49"/>
  <c r="D116" i="49" s="1"/>
  <c r="F115" i="49"/>
  <c r="D115" i="49" s="1"/>
  <c r="F114" i="49"/>
  <c r="D114" i="49" s="1"/>
  <c r="F113" i="49"/>
  <c r="E113" i="49"/>
  <c r="F112" i="49"/>
  <c r="D112" i="49" s="1"/>
  <c r="F111" i="49"/>
  <c r="D111" i="49" s="1"/>
  <c r="F110" i="49"/>
  <c r="D110" i="49" s="1"/>
  <c r="F109" i="49"/>
  <c r="D109" i="49" s="1"/>
  <c r="F108" i="49"/>
  <c r="D108" i="49" s="1"/>
  <c r="F107" i="49"/>
  <c r="D107" i="49" s="1"/>
  <c r="F106" i="49"/>
  <c r="D106" i="49" s="1"/>
  <c r="F105" i="49"/>
  <c r="D105" i="49" s="1"/>
  <c r="F104" i="49"/>
  <c r="D104" i="49" s="1"/>
  <c r="F103" i="49"/>
  <c r="D103" i="49" s="1"/>
  <c r="F102" i="49"/>
  <c r="D102" i="49" s="1"/>
  <c r="F101" i="49"/>
  <c r="D101" i="49" s="1"/>
  <c r="F100" i="49"/>
  <c r="D100" i="49" s="1"/>
  <c r="F99" i="49"/>
  <c r="D99" i="49" s="1"/>
  <c r="F98" i="49"/>
  <c r="D98" i="49" s="1"/>
  <c r="F97" i="49"/>
  <c r="D97" i="49" s="1"/>
  <c r="F96" i="49"/>
  <c r="D96" i="49" s="1"/>
  <c r="F95" i="49"/>
  <c r="D95" i="49" s="1"/>
  <c r="F94" i="49"/>
  <c r="D94" i="49" s="1"/>
  <c r="F93" i="49"/>
  <c r="D93" i="49" s="1"/>
  <c r="F92" i="49"/>
  <c r="D92" i="49" s="1"/>
  <c r="F91" i="49"/>
  <c r="D91" i="49" s="1"/>
  <c r="F90" i="49"/>
  <c r="D90" i="49" s="1"/>
  <c r="F89" i="49"/>
  <c r="D89" i="49" s="1"/>
  <c r="F88" i="49"/>
  <c r="D88" i="49" s="1"/>
  <c r="F87" i="49"/>
  <c r="D87" i="49" s="1"/>
  <c r="F86" i="49"/>
  <c r="D86" i="49" s="1"/>
  <c r="F85" i="49"/>
  <c r="D85" i="49" s="1"/>
  <c r="F84" i="49"/>
  <c r="D84" i="49" s="1"/>
  <c r="F83" i="49"/>
  <c r="D83" i="49" s="1"/>
  <c r="F82" i="49"/>
  <c r="D82" i="49" s="1"/>
  <c r="F81" i="49"/>
  <c r="D81" i="49" s="1"/>
  <c r="F80" i="49"/>
  <c r="D80" i="49" s="1"/>
  <c r="F79" i="49"/>
  <c r="D79" i="49" s="1"/>
  <c r="F78" i="49"/>
  <c r="D78" i="49" s="1"/>
  <c r="F77" i="49"/>
  <c r="D77" i="49" s="1"/>
  <c r="F76" i="49"/>
  <c r="D76" i="49" s="1"/>
  <c r="F75" i="49"/>
  <c r="D75" i="49" s="1"/>
  <c r="F74" i="49"/>
  <c r="D74" i="49" s="1"/>
  <c r="F73" i="49"/>
  <c r="D73" i="49" s="1"/>
  <c r="F72" i="49"/>
  <c r="D72" i="49" s="1"/>
  <c r="F71" i="49"/>
  <c r="D71" i="49" s="1"/>
  <c r="F70" i="49"/>
  <c r="D70" i="49" s="1"/>
  <c r="F69" i="49"/>
  <c r="D69" i="49" s="1"/>
  <c r="F68" i="49"/>
  <c r="D68" i="49" s="1"/>
  <c r="F67" i="49"/>
  <c r="D67" i="49" s="1"/>
  <c r="F66" i="49"/>
  <c r="D66" i="49" s="1"/>
  <c r="F65" i="49"/>
  <c r="D65" i="49" s="1"/>
  <c r="F64" i="49"/>
  <c r="D64" i="49" s="1"/>
  <c r="F63" i="49"/>
  <c r="D63" i="49" s="1"/>
  <c r="F62" i="49"/>
  <c r="D62" i="49" s="1"/>
  <c r="F61" i="49"/>
  <c r="D61" i="49" s="1"/>
  <c r="F60" i="49"/>
  <c r="D60" i="49" s="1"/>
  <c r="F59" i="49"/>
  <c r="D59" i="49" s="1"/>
  <c r="F58" i="49"/>
  <c r="D58" i="49" s="1"/>
  <c r="F57" i="49"/>
  <c r="D57" i="49" s="1"/>
  <c r="F56" i="49"/>
  <c r="D56" i="49" s="1"/>
  <c r="F55" i="49"/>
  <c r="D55" i="49" s="1"/>
  <c r="F54" i="49"/>
  <c r="D54" i="49" s="1"/>
  <c r="F53" i="49"/>
  <c r="D53" i="49" s="1"/>
  <c r="F52" i="49"/>
  <c r="D52" i="49" s="1"/>
  <c r="F51" i="49"/>
  <c r="D51" i="49" s="1"/>
  <c r="F50" i="49"/>
  <c r="D50" i="49" s="1"/>
  <c r="F49" i="49"/>
  <c r="D49" i="49" s="1"/>
  <c r="F48" i="49"/>
  <c r="D48" i="49" s="1"/>
  <c r="F47" i="49"/>
  <c r="D47" i="49" s="1"/>
  <c r="F46" i="49"/>
  <c r="D46" i="49" s="1"/>
  <c r="F45" i="49"/>
  <c r="D45" i="49" s="1"/>
  <c r="F44" i="49"/>
  <c r="D44" i="49" s="1"/>
  <c r="F43" i="49"/>
  <c r="D43" i="49" s="1"/>
  <c r="F42" i="49"/>
  <c r="D42" i="49" s="1"/>
  <c r="F41" i="49"/>
  <c r="D41" i="49" s="1"/>
  <c r="F40" i="49"/>
  <c r="D40" i="49" s="1"/>
  <c r="F39" i="49"/>
  <c r="D39" i="49" s="1"/>
  <c r="F38" i="49"/>
  <c r="D38" i="49" s="1"/>
  <c r="F37" i="49"/>
  <c r="D37" i="49" s="1"/>
  <c r="F36" i="49"/>
  <c r="D36" i="49" s="1"/>
  <c r="F35" i="49"/>
  <c r="D35" i="49" s="1"/>
  <c r="F34" i="49"/>
  <c r="D34" i="49" s="1"/>
  <c r="F33" i="49"/>
  <c r="D33" i="49" s="1"/>
  <c r="F32" i="49"/>
  <c r="D32" i="49" s="1"/>
  <c r="F31" i="49"/>
  <c r="D31" i="49" s="1"/>
  <c r="F30" i="49"/>
  <c r="D30" i="49" s="1"/>
  <c r="F29" i="49"/>
  <c r="D29" i="49" s="1"/>
  <c r="F28" i="49"/>
  <c r="D28" i="49" s="1"/>
  <c r="F27" i="49"/>
  <c r="D27" i="49" s="1"/>
  <c r="F26" i="49"/>
  <c r="D26" i="49" s="1"/>
  <c r="F25" i="49"/>
  <c r="D25" i="49" s="1"/>
  <c r="F24" i="49"/>
  <c r="D24" i="49" s="1"/>
  <c r="F23" i="49"/>
  <c r="D23" i="49" s="1"/>
  <c r="F22" i="49"/>
  <c r="D22" i="49" s="1"/>
  <c r="F21" i="49"/>
  <c r="D21" i="49" s="1"/>
  <c r="F20" i="49"/>
  <c r="D20" i="49" s="1"/>
  <c r="F19" i="49"/>
  <c r="D19" i="49" s="1"/>
  <c r="F18" i="49"/>
  <c r="D18" i="49" s="1"/>
  <c r="F17" i="49"/>
  <c r="D17" i="49" s="1"/>
  <c r="F16" i="49"/>
  <c r="D16" i="49" s="1"/>
  <c r="F15" i="49"/>
  <c r="D15" i="49" s="1"/>
  <c r="F14" i="49"/>
  <c r="D14" i="49" s="1"/>
  <c r="F13" i="49"/>
  <c r="D13" i="49" s="1"/>
  <c r="I12" i="49"/>
  <c r="I10" i="49" s="1"/>
  <c r="H12" i="49"/>
  <c r="H10" i="49" s="1"/>
  <c r="G12" i="49"/>
  <c r="G10" i="49" s="1"/>
  <c r="F11" i="49"/>
  <c r="E11" i="49"/>
  <c r="D113" i="49" l="1"/>
  <c r="D119" i="49"/>
  <c r="D11" i="49"/>
  <c r="E12" i="49"/>
  <c r="E10" i="49" s="1"/>
  <c r="F12" i="49"/>
  <c r="F10" i="49" s="1"/>
  <c r="D12" i="49" l="1"/>
  <c r="D10" i="49" s="1"/>
  <c r="AF104" i="24" l="1"/>
  <c r="L7" i="41" l="1"/>
  <c r="P95" i="43"/>
  <c r="G95" i="43"/>
  <c r="K95" i="43" s="1"/>
  <c r="P94" i="43"/>
  <c r="G94" i="43"/>
  <c r="K94" i="43" s="1"/>
  <c r="P93" i="43"/>
  <c r="G93" i="43"/>
  <c r="K93" i="43" s="1"/>
  <c r="P92" i="43"/>
  <c r="G92" i="43"/>
  <c r="K92" i="43" s="1"/>
  <c r="P91" i="43"/>
  <c r="G91" i="43"/>
  <c r="K91" i="43" s="1"/>
  <c r="P90" i="43"/>
  <c r="G90" i="43"/>
  <c r="K90" i="43" s="1"/>
  <c r="Y89" i="43"/>
  <c r="Y8" i="43" s="1"/>
  <c r="Y6" i="43" s="1"/>
  <c r="P89" i="43"/>
  <c r="G89" i="43"/>
  <c r="P88" i="43"/>
  <c r="G88" i="43"/>
  <c r="K88" i="43" s="1"/>
  <c r="P87" i="43"/>
  <c r="G87" i="43"/>
  <c r="K87" i="43" s="1"/>
  <c r="P86" i="43"/>
  <c r="G86" i="43"/>
  <c r="K86" i="43" s="1"/>
  <c r="P85" i="43"/>
  <c r="G85" i="43"/>
  <c r="K85" i="43" s="1"/>
  <c r="P84" i="43"/>
  <c r="G84" i="43"/>
  <c r="K84" i="43" s="1"/>
  <c r="P83" i="43"/>
  <c r="G83" i="43"/>
  <c r="K83" i="43" s="1"/>
  <c r="P82" i="43"/>
  <c r="G82" i="43"/>
  <c r="K82" i="43" s="1"/>
  <c r="P81" i="43"/>
  <c r="G81" i="43"/>
  <c r="K81" i="43" s="1"/>
  <c r="P80" i="43"/>
  <c r="G80" i="43"/>
  <c r="K80" i="43" s="1"/>
  <c r="P79" i="43"/>
  <c r="G79" i="43"/>
  <c r="K79" i="43" s="1"/>
  <c r="P78" i="43"/>
  <c r="G78" i="43"/>
  <c r="K78" i="43" s="1"/>
  <c r="P77" i="43"/>
  <c r="G77" i="43"/>
  <c r="K77" i="43" s="1"/>
  <c r="P76" i="43"/>
  <c r="G76" i="43"/>
  <c r="K76" i="43" s="1"/>
  <c r="P75" i="43"/>
  <c r="G75" i="43"/>
  <c r="K75" i="43" s="1"/>
  <c r="P74" i="43"/>
  <c r="G74" i="43"/>
  <c r="K74" i="43" s="1"/>
  <c r="P73" i="43"/>
  <c r="G73" i="43"/>
  <c r="K73" i="43" s="1"/>
  <c r="P72" i="43"/>
  <c r="G72" i="43"/>
  <c r="K72" i="43" s="1"/>
  <c r="P71" i="43"/>
  <c r="G71" i="43"/>
  <c r="K71" i="43" s="1"/>
  <c r="P70" i="43"/>
  <c r="G70" i="43"/>
  <c r="K70" i="43" s="1"/>
  <c r="P69" i="43"/>
  <c r="G69" i="43"/>
  <c r="K69" i="43" s="1"/>
  <c r="P68" i="43"/>
  <c r="G68" i="43"/>
  <c r="K68" i="43" s="1"/>
  <c r="P67" i="43"/>
  <c r="G67" i="43"/>
  <c r="K67" i="43" s="1"/>
  <c r="P66" i="43"/>
  <c r="G66" i="43"/>
  <c r="K66" i="43" s="1"/>
  <c r="P65" i="43"/>
  <c r="G65" i="43"/>
  <c r="K65" i="43" s="1"/>
  <c r="P64" i="43"/>
  <c r="G64" i="43"/>
  <c r="K64" i="43" s="1"/>
  <c r="P63" i="43"/>
  <c r="G63" i="43"/>
  <c r="K63" i="43" s="1"/>
  <c r="P62" i="43"/>
  <c r="G62" i="43"/>
  <c r="K62" i="43" s="1"/>
  <c r="P61" i="43"/>
  <c r="G61" i="43"/>
  <c r="K61" i="43" s="1"/>
  <c r="P60" i="43"/>
  <c r="G60" i="43"/>
  <c r="K60" i="43" s="1"/>
  <c r="P59" i="43"/>
  <c r="G59" i="43"/>
  <c r="K59" i="43" s="1"/>
  <c r="P58" i="43"/>
  <c r="G58" i="43"/>
  <c r="K58" i="43" s="1"/>
  <c r="P57" i="43"/>
  <c r="G57" i="43"/>
  <c r="K57" i="43" s="1"/>
  <c r="P56" i="43"/>
  <c r="G56" i="43"/>
  <c r="K56" i="43" s="1"/>
  <c r="P55" i="43"/>
  <c r="G55" i="43"/>
  <c r="K55" i="43" s="1"/>
  <c r="P54" i="43"/>
  <c r="G54" i="43"/>
  <c r="K54" i="43" s="1"/>
  <c r="P53" i="43"/>
  <c r="G53" i="43"/>
  <c r="K53" i="43" s="1"/>
  <c r="P52" i="43"/>
  <c r="G52" i="43"/>
  <c r="K52" i="43" s="1"/>
  <c r="P51" i="43"/>
  <c r="G51" i="43"/>
  <c r="K51" i="43" s="1"/>
  <c r="P50" i="43"/>
  <c r="G50" i="43"/>
  <c r="K50" i="43" s="1"/>
  <c r="P49" i="43"/>
  <c r="G49" i="43"/>
  <c r="K49" i="43" s="1"/>
  <c r="P48" i="43"/>
  <c r="G48" i="43"/>
  <c r="K48" i="43" s="1"/>
  <c r="P47" i="43"/>
  <c r="G47" i="43"/>
  <c r="K47" i="43" s="1"/>
  <c r="P46" i="43"/>
  <c r="G46" i="43"/>
  <c r="K46" i="43" s="1"/>
  <c r="P45" i="43"/>
  <c r="G45" i="43"/>
  <c r="K45" i="43" s="1"/>
  <c r="P44" i="43"/>
  <c r="G44" i="43"/>
  <c r="K44" i="43" s="1"/>
  <c r="P43" i="43"/>
  <c r="G43" i="43"/>
  <c r="K43" i="43" s="1"/>
  <c r="P42" i="43"/>
  <c r="G42" i="43"/>
  <c r="K42" i="43" s="1"/>
  <c r="P41" i="43"/>
  <c r="G41" i="43"/>
  <c r="K41" i="43" s="1"/>
  <c r="P40" i="43"/>
  <c r="G40" i="43"/>
  <c r="K40" i="43" s="1"/>
  <c r="P39" i="43"/>
  <c r="G39" i="43"/>
  <c r="K39" i="43" s="1"/>
  <c r="P38" i="43"/>
  <c r="G38" i="43"/>
  <c r="K38" i="43" s="1"/>
  <c r="P37" i="43"/>
  <c r="G37" i="43"/>
  <c r="K37" i="43" s="1"/>
  <c r="P36" i="43"/>
  <c r="G36" i="43"/>
  <c r="K36" i="43" s="1"/>
  <c r="P35" i="43"/>
  <c r="J8" i="43"/>
  <c r="J6" i="43" s="1"/>
  <c r="H8" i="43"/>
  <c r="H6" i="43" s="1"/>
  <c r="G35" i="43"/>
  <c r="K35" i="43" s="1"/>
  <c r="P34" i="43"/>
  <c r="G34" i="43"/>
  <c r="K34" i="43" s="1"/>
  <c r="P33" i="43"/>
  <c r="G33" i="43"/>
  <c r="K33" i="43" s="1"/>
  <c r="P32" i="43"/>
  <c r="G32" i="43"/>
  <c r="K32" i="43" s="1"/>
  <c r="P31" i="43"/>
  <c r="G31" i="43"/>
  <c r="K31" i="43" s="1"/>
  <c r="P30" i="43"/>
  <c r="G30" i="43"/>
  <c r="K30" i="43" s="1"/>
  <c r="P29" i="43"/>
  <c r="G29" i="43"/>
  <c r="K29" i="43" s="1"/>
  <c r="P28" i="43"/>
  <c r="G28" i="43"/>
  <c r="K28" i="43" s="1"/>
  <c r="P27" i="43"/>
  <c r="G27" i="43"/>
  <c r="K27" i="43" s="1"/>
  <c r="P26" i="43"/>
  <c r="G26" i="43"/>
  <c r="K26" i="43" s="1"/>
  <c r="P25" i="43"/>
  <c r="G25" i="43"/>
  <c r="K25" i="43" s="1"/>
  <c r="P24" i="43"/>
  <c r="G24" i="43"/>
  <c r="K24" i="43" s="1"/>
  <c r="P23" i="43"/>
  <c r="G23" i="43"/>
  <c r="K23" i="43" s="1"/>
  <c r="P22" i="43"/>
  <c r="G22" i="43"/>
  <c r="K22" i="43" s="1"/>
  <c r="P21" i="43"/>
  <c r="G21" i="43"/>
  <c r="K21" i="43" s="1"/>
  <c r="P20" i="43"/>
  <c r="G20" i="43"/>
  <c r="K20" i="43" s="1"/>
  <c r="P19" i="43"/>
  <c r="G19" i="43"/>
  <c r="K19" i="43" s="1"/>
  <c r="P18" i="43"/>
  <c r="G18" i="43"/>
  <c r="K18" i="43" s="1"/>
  <c r="P17" i="43"/>
  <c r="G17" i="43"/>
  <c r="K17" i="43" s="1"/>
  <c r="P16" i="43"/>
  <c r="G16" i="43"/>
  <c r="K16" i="43" s="1"/>
  <c r="P15" i="43"/>
  <c r="G15" i="43"/>
  <c r="K15" i="43" s="1"/>
  <c r="P14" i="43"/>
  <c r="G14" i="43"/>
  <c r="K14" i="43" s="1"/>
  <c r="P13" i="43"/>
  <c r="G13" i="43"/>
  <c r="K13" i="43" s="1"/>
  <c r="P12" i="43"/>
  <c r="G12" i="43"/>
  <c r="K12" i="43" s="1"/>
  <c r="P11" i="43"/>
  <c r="G11" i="43"/>
  <c r="K11" i="43" s="1"/>
  <c r="P10" i="43"/>
  <c r="G10" i="43"/>
  <c r="P9" i="43"/>
  <c r="G9" i="43"/>
  <c r="K9" i="43" s="1"/>
  <c r="X8" i="43"/>
  <c r="X6" i="43" s="1"/>
  <c r="W8" i="43"/>
  <c r="W6" i="43" s="1"/>
  <c r="V8" i="43"/>
  <c r="V6" i="43" s="1"/>
  <c r="U8" i="43"/>
  <c r="U6" i="43" s="1"/>
  <c r="T8" i="43"/>
  <c r="T6" i="43" s="1"/>
  <c r="S8" i="43"/>
  <c r="S6" i="43" s="1"/>
  <c r="R8" i="43"/>
  <c r="R6" i="43" s="1"/>
  <c r="Q8" i="43"/>
  <c r="Q6" i="43" s="1"/>
  <c r="O8" i="43"/>
  <c r="O6" i="43" s="1"/>
  <c r="N8" i="43"/>
  <c r="N6" i="43" s="1"/>
  <c r="M8" i="43"/>
  <c r="M6" i="43" s="1"/>
  <c r="L8" i="43"/>
  <c r="L6" i="43" s="1"/>
  <c r="I8" i="43"/>
  <c r="I6" i="43" s="1"/>
  <c r="F8" i="43"/>
  <c r="F6" i="43" s="1"/>
  <c r="E8" i="43"/>
  <c r="E6" i="43" s="1"/>
  <c r="D8" i="43"/>
  <c r="D6" i="43" s="1"/>
  <c r="P8" i="43" l="1"/>
  <c r="P6" i="43" s="1"/>
  <c r="G8" i="43"/>
  <c r="G6" i="43" s="1"/>
  <c r="K10" i="43"/>
  <c r="K8" i="43" s="1"/>
  <c r="K6" i="43" s="1"/>
  <c r="D7" i="42" l="1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19" i="42"/>
  <c r="G18" i="42"/>
  <c r="G17" i="42"/>
  <c r="G16" i="42"/>
  <c r="G15" i="42"/>
  <c r="G14" i="42"/>
  <c r="G13" i="42"/>
  <c r="G12" i="42"/>
  <c r="G11" i="42"/>
  <c r="G10" i="42"/>
  <c r="G9" i="42"/>
  <c r="G8" i="42"/>
  <c r="F7" i="42"/>
  <c r="F5" i="42" s="1"/>
  <c r="E7" i="42"/>
  <c r="E5" i="42" s="1"/>
  <c r="D5" i="42"/>
  <c r="G7" i="42" l="1"/>
  <c r="G5" i="42" s="1"/>
  <c r="K7" i="41" l="1"/>
  <c r="K5" i="41" s="1"/>
  <c r="J7" i="41"/>
  <c r="J5" i="41" s="1"/>
  <c r="I7" i="41"/>
  <c r="I5" i="41" s="1"/>
  <c r="G7" i="41"/>
  <c r="G5" i="41" s="1"/>
  <c r="F7" i="41"/>
  <c r="F5" i="41" s="1"/>
  <c r="E7" i="41"/>
  <c r="E5" i="41" s="1"/>
  <c r="D5" i="41"/>
  <c r="L6" i="41"/>
  <c r="L5" i="41" s="1"/>
  <c r="H6" i="41"/>
  <c r="H7" i="41" l="1"/>
  <c r="H5" i="41" s="1"/>
  <c r="E7" i="8"/>
  <c r="F7" i="8"/>
  <c r="G7" i="8"/>
  <c r="H7" i="8"/>
  <c r="I7" i="8"/>
  <c r="D7" i="8"/>
  <c r="E7" i="12"/>
  <c r="D7" i="12"/>
  <c r="E7" i="10"/>
  <c r="F7" i="10"/>
  <c r="G7" i="10"/>
  <c r="H7" i="10"/>
  <c r="I7" i="10"/>
  <c r="D7" i="10"/>
  <c r="F144" i="12" l="1"/>
  <c r="F136" i="12"/>
  <c r="F135" i="12"/>
  <c r="F134" i="12"/>
  <c r="G129" i="12"/>
  <c r="F129" i="12"/>
  <c r="F127" i="12"/>
  <c r="F106" i="12"/>
  <c r="F105" i="12"/>
  <c r="F104" i="12"/>
  <c r="F103" i="12"/>
  <c r="F101" i="12"/>
  <c r="F99" i="12"/>
  <c r="F98" i="12"/>
  <c r="F97" i="12"/>
  <c r="F96" i="12"/>
  <c r="F95" i="12"/>
  <c r="F83" i="12"/>
  <c r="G82" i="12"/>
  <c r="F82" i="12"/>
  <c r="F81" i="12"/>
  <c r="F80" i="12"/>
  <c r="F79" i="12"/>
  <c r="F78" i="12"/>
  <c r="F77" i="12"/>
  <c r="F69" i="12"/>
  <c r="F68" i="12"/>
  <c r="F67" i="12"/>
  <c r="F63" i="12"/>
  <c r="F57" i="12"/>
  <c r="F56" i="12"/>
  <c r="F55" i="12"/>
  <c r="F54" i="12"/>
  <c r="F53" i="12"/>
  <c r="F52" i="12"/>
  <c r="F49" i="12"/>
  <c r="F48" i="12"/>
  <c r="F47" i="12"/>
  <c r="F43" i="12"/>
  <c r="F41" i="12"/>
  <c r="F39" i="12"/>
  <c r="F38" i="12"/>
  <c r="F37" i="12"/>
  <c r="F36" i="12"/>
  <c r="G33" i="12"/>
  <c r="G7" i="12" s="1"/>
  <c r="F33" i="12"/>
  <c r="F32" i="12"/>
  <c r="F28" i="12"/>
  <c r="F27" i="12"/>
  <c r="F26" i="12"/>
  <c r="F25" i="12"/>
  <c r="F24" i="12"/>
  <c r="F23" i="12"/>
  <c r="F19" i="12"/>
  <c r="F16" i="12"/>
  <c r="F14" i="12"/>
  <c r="F13" i="12"/>
  <c r="F11" i="12"/>
  <c r="F10" i="12"/>
  <c r="F9" i="12"/>
  <c r="F8" i="12"/>
  <c r="E5" i="12"/>
  <c r="D5" i="12"/>
  <c r="F7" i="12" l="1"/>
  <c r="F5" i="12" s="1"/>
  <c r="G5" i="12"/>
  <c r="AF105" i="24" l="1"/>
  <c r="AF102" i="24"/>
  <c r="AF101" i="24" s="1"/>
  <c r="AF100" i="24"/>
  <c r="AF99" i="24"/>
  <c r="AF97" i="24"/>
  <c r="AF96" i="24"/>
  <c r="AF95" i="24"/>
  <c r="AF93" i="24"/>
  <c r="AF92" i="24"/>
  <c r="AF91" i="24"/>
  <c r="AF90" i="24"/>
  <c r="AF89" i="24"/>
  <c r="AF88" i="24"/>
  <c r="AF85" i="24"/>
  <c r="AF84" i="24"/>
  <c r="AF82" i="24"/>
  <c r="AF81" i="24"/>
  <c r="AF80" i="24"/>
  <c r="AF79" i="24"/>
  <c r="AF78" i="24"/>
  <c r="AF77" i="24"/>
  <c r="AF76" i="24"/>
  <c r="AF75" i="24"/>
  <c r="AF74" i="24"/>
  <c r="AF73" i="24"/>
  <c r="AF72" i="24"/>
  <c r="AF71" i="24"/>
  <c r="AF70" i="24"/>
  <c r="AF69" i="24"/>
  <c r="AF68" i="24"/>
  <c r="AF67" i="24"/>
  <c r="AF66" i="24"/>
  <c r="AF65" i="24"/>
  <c r="AF64" i="24"/>
  <c r="AF63" i="24"/>
  <c r="AF61" i="24"/>
  <c r="AF57" i="24"/>
  <c r="AF56" i="24"/>
  <c r="AF55" i="24"/>
  <c r="AF54" i="24"/>
  <c r="AF53" i="24"/>
  <c r="AF52" i="24"/>
  <c r="AF51" i="24"/>
  <c r="AF48" i="24"/>
  <c r="AF47" i="24"/>
  <c r="AF46" i="24"/>
  <c r="AF45" i="24"/>
  <c r="AF43" i="24"/>
  <c r="AF42" i="24"/>
  <c r="AF41" i="24"/>
  <c r="AF39" i="24"/>
  <c r="AF38" i="24"/>
  <c r="AF37" i="24"/>
  <c r="AF36" i="24"/>
  <c r="AF35" i="24"/>
  <c r="AF34" i="24"/>
  <c r="AF31" i="24"/>
  <c r="AF30" i="24"/>
  <c r="AF28" i="24"/>
  <c r="AF27" i="24"/>
  <c r="AF26" i="24"/>
  <c r="AF25" i="24"/>
  <c r="AF24" i="24"/>
  <c r="AF23" i="24"/>
  <c r="AF21" i="24"/>
  <c r="AF16" i="24"/>
  <c r="AF15" i="24" s="1"/>
  <c r="AF14" i="24"/>
  <c r="AF11" i="24"/>
  <c r="AF10" i="24" s="1"/>
  <c r="AF9" i="24"/>
  <c r="AF8" i="24"/>
  <c r="AF7" i="24"/>
  <c r="AF6" i="24"/>
  <c r="J106" i="24"/>
  <c r="AF5" i="24" l="1"/>
  <c r="AF13" i="24"/>
  <c r="AF12" i="24" s="1"/>
  <c r="Z106" i="24"/>
  <c r="B106" i="24"/>
  <c r="AF44" i="24"/>
  <c r="R106" i="24"/>
  <c r="AF18" i="24"/>
  <c r="AF17" i="24" s="1"/>
  <c r="AF83" i="24"/>
  <c r="AF98" i="24"/>
  <c r="AF22" i="24"/>
  <c r="D106" i="24"/>
  <c r="AB106" i="24"/>
  <c r="E106" i="24"/>
  <c r="M106" i="24"/>
  <c r="U106" i="24"/>
  <c r="AC106" i="24"/>
  <c r="AF29" i="24"/>
  <c r="T106" i="24"/>
  <c r="I106" i="24"/>
  <c r="G106" i="24"/>
  <c r="O106" i="24"/>
  <c r="W106" i="24"/>
  <c r="AE106" i="24"/>
  <c r="AF33" i="24"/>
  <c r="AF32" i="24" s="1"/>
  <c r="AF59" i="24"/>
  <c r="AF58" i="24" s="1"/>
  <c r="V106" i="24"/>
  <c r="H106" i="24"/>
  <c r="P106" i="24"/>
  <c r="X106" i="24"/>
  <c r="Y106" i="24"/>
  <c r="AF94" i="24"/>
  <c r="AF103" i="24"/>
  <c r="L106" i="24"/>
  <c r="F106" i="24"/>
  <c r="N106" i="24"/>
  <c r="Q106" i="24"/>
  <c r="C106" i="24"/>
  <c r="K106" i="24"/>
  <c r="S106" i="24"/>
  <c r="AA106" i="24"/>
  <c r="AF40" i="24"/>
  <c r="AF20" i="24"/>
  <c r="AF19" i="24" s="1"/>
  <c r="AF87" i="24"/>
  <c r="AF86" i="24" s="1"/>
  <c r="AF50" i="24"/>
  <c r="AF49" i="24" s="1"/>
  <c r="AF62" i="24"/>
  <c r="AF60" i="24" s="1"/>
  <c r="AF106" i="24" l="1"/>
  <c r="AD106" i="24"/>
  <c r="I5" i="8" l="1"/>
  <c r="H5" i="8"/>
  <c r="G5" i="8"/>
  <c r="F5" i="8"/>
  <c r="E5" i="8"/>
  <c r="D5" i="8"/>
  <c r="I5" i="10"/>
  <c r="H5" i="10"/>
  <c r="G5" i="10"/>
  <c r="F5" i="10"/>
  <c r="E5" i="10"/>
  <c r="D5" i="10"/>
  <c r="C8" i="37" l="1"/>
  <c r="B8" i="37"/>
  <c r="D7" i="37"/>
  <c r="D6" i="37"/>
  <c r="D5" i="37"/>
  <c r="D8" i="37" l="1"/>
  <c r="M23" i="34" l="1"/>
  <c r="E23" i="34"/>
  <c r="M22" i="34"/>
  <c r="E22" i="34"/>
  <c r="M21" i="34"/>
  <c r="E21" i="34"/>
  <c r="M20" i="34"/>
  <c r="E20" i="34"/>
  <c r="M19" i="34"/>
  <c r="E19" i="34"/>
  <c r="M18" i="34"/>
  <c r="E18" i="34"/>
  <c r="M17" i="34"/>
  <c r="E17" i="34"/>
  <c r="M16" i="34"/>
  <c r="E16" i="34"/>
  <c r="M15" i="34"/>
  <c r="E15" i="34"/>
  <c r="M14" i="34"/>
  <c r="E14" i="34"/>
  <c r="N13" i="34"/>
  <c r="N9" i="34" s="1"/>
  <c r="L13" i="34"/>
  <c r="L9" i="34" s="1"/>
  <c r="K13" i="34"/>
  <c r="K9" i="34" s="1"/>
  <c r="I13" i="34"/>
  <c r="I9" i="34" s="1"/>
  <c r="H13" i="34"/>
  <c r="H9" i="34" s="1"/>
  <c r="F13" i="34"/>
  <c r="F9" i="34" s="1"/>
  <c r="E10" i="34"/>
  <c r="M13" i="34" l="1"/>
  <c r="M9" i="34" s="1"/>
  <c r="E13" i="34"/>
  <c r="E9" i="34" s="1"/>
  <c r="R6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J20" i="32"/>
  <c r="L20" i="32" s="1"/>
  <c r="J21" i="32"/>
  <c r="L21" i="32" s="1"/>
  <c r="J22" i="32"/>
  <c r="L22" i="32" s="1"/>
  <c r="R23" i="32"/>
  <c r="R24" i="32"/>
  <c r="D26" i="32"/>
  <c r="E26" i="32"/>
  <c r="F26" i="32"/>
  <c r="G26" i="32"/>
  <c r="H26" i="32"/>
  <c r="I26" i="32"/>
  <c r="K26" i="32"/>
  <c r="M26" i="32"/>
  <c r="N26" i="32"/>
  <c r="O26" i="32"/>
  <c r="P26" i="32"/>
  <c r="Q26" i="32"/>
  <c r="S26" i="32"/>
  <c r="L26" i="32" l="1"/>
  <c r="J26" i="32"/>
  <c r="R26" i="32"/>
  <c r="E9" i="31"/>
  <c r="E7" i="31" s="1"/>
  <c r="D9" i="31"/>
  <c r="D7" i="31" s="1"/>
  <c r="D6" i="30" l="1"/>
  <c r="D4" i="30" s="1"/>
  <c r="D96" i="26" l="1"/>
  <c r="E96" i="26"/>
  <c r="F96" i="26"/>
  <c r="K137" i="25" l="1"/>
  <c r="M137" i="25" s="1"/>
  <c r="L136" i="25"/>
  <c r="L138" i="25" s="1"/>
  <c r="K136" i="25"/>
  <c r="J136" i="25"/>
  <c r="J138" i="25" s="1"/>
  <c r="I136" i="25"/>
  <c r="I138" i="25" s="1"/>
  <c r="H136" i="25"/>
  <c r="G136" i="25"/>
  <c r="G138" i="25" s="1"/>
  <c r="F136" i="25"/>
  <c r="F138" i="25" s="1"/>
  <c r="E136" i="25"/>
  <c r="M135" i="25"/>
  <c r="M134" i="25"/>
  <c r="M133" i="25"/>
  <c r="M132" i="25"/>
  <c r="M131" i="25"/>
  <c r="M129" i="25"/>
  <c r="M128" i="25"/>
  <c r="M126" i="25"/>
  <c r="M125" i="25"/>
  <c r="M123" i="25"/>
  <c r="M122" i="25"/>
  <c r="M120" i="25"/>
  <c r="M119" i="25"/>
  <c r="M117" i="25"/>
  <c r="M116" i="25"/>
  <c r="M114" i="25"/>
  <c r="M113" i="25"/>
  <c r="M111" i="25"/>
  <c r="M110" i="25"/>
  <c r="M108" i="25"/>
  <c r="M107" i="25"/>
  <c r="M105" i="25"/>
  <c r="M104" i="25"/>
  <c r="M102" i="25"/>
  <c r="M101" i="25"/>
  <c r="M99" i="25"/>
  <c r="M98" i="25"/>
  <c r="M96" i="25"/>
  <c r="M95" i="25"/>
  <c r="M93" i="25"/>
  <c r="M92" i="25"/>
  <c r="M90" i="25"/>
  <c r="M89" i="25"/>
  <c r="M87" i="25"/>
  <c r="M86" i="25"/>
  <c r="M84" i="25"/>
  <c r="M83" i="25"/>
  <c r="M81" i="25"/>
  <c r="M80" i="25"/>
  <c r="M78" i="25"/>
  <c r="M77" i="25"/>
  <c r="M75" i="25"/>
  <c r="M74" i="25"/>
  <c r="M72" i="25"/>
  <c r="M71" i="25"/>
  <c r="M69" i="25"/>
  <c r="M68" i="25"/>
  <c r="M66" i="25"/>
  <c r="M65" i="25"/>
  <c r="M63" i="25"/>
  <c r="M62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8" i="25"/>
  <c r="M7" i="25"/>
  <c r="M6" i="25"/>
  <c r="M5" i="25"/>
  <c r="M85" i="25" l="1"/>
  <c r="M130" i="25"/>
  <c r="M70" i="25"/>
  <c r="M82" i="25"/>
  <c r="M94" i="25"/>
  <c r="M106" i="25"/>
  <c r="M118" i="25"/>
  <c r="M88" i="25"/>
  <c r="M91" i="25"/>
  <c r="M103" i="25"/>
  <c r="M115" i="25"/>
  <c r="M109" i="25"/>
  <c r="M67" i="25"/>
  <c r="M127" i="25"/>
  <c r="M73" i="25"/>
  <c r="M64" i="25"/>
  <c r="M61" i="25"/>
  <c r="M112" i="25"/>
  <c r="M124" i="25"/>
  <c r="M76" i="25"/>
  <c r="M97" i="25"/>
  <c r="M79" i="25"/>
  <c r="M100" i="25"/>
  <c r="M121" i="25"/>
  <c r="K138" i="25"/>
  <c r="H138" i="25"/>
  <c r="M136" i="25" l="1"/>
  <c r="M138" i="25" s="1"/>
  <c r="L28" i="17" l="1"/>
  <c r="K28" i="17"/>
  <c r="I28" i="17"/>
  <c r="H28" i="17"/>
  <c r="L27" i="17"/>
  <c r="K27" i="17"/>
  <c r="I27" i="17"/>
  <c r="H27" i="17"/>
  <c r="L26" i="17"/>
  <c r="K26" i="17"/>
  <c r="I26" i="17"/>
  <c r="H26" i="17"/>
  <c r="L25" i="17"/>
  <c r="K25" i="17"/>
  <c r="I25" i="17"/>
  <c r="H25" i="17"/>
  <c r="L24" i="17"/>
  <c r="K24" i="17"/>
  <c r="I24" i="17"/>
  <c r="H24" i="17"/>
  <c r="L23" i="17"/>
  <c r="K23" i="17"/>
  <c r="I23" i="17"/>
  <c r="H23" i="17"/>
  <c r="L22" i="17"/>
  <c r="K22" i="17"/>
  <c r="I22" i="17"/>
  <c r="H22" i="17"/>
  <c r="L21" i="17"/>
  <c r="K21" i="17"/>
  <c r="I21" i="17"/>
  <c r="H21" i="17"/>
  <c r="L20" i="17"/>
  <c r="K20" i="17"/>
  <c r="I20" i="17"/>
  <c r="H20" i="17"/>
  <c r="L19" i="17"/>
  <c r="K19" i="17"/>
  <c r="I19" i="17"/>
  <c r="H19" i="17"/>
  <c r="L18" i="17"/>
  <c r="K18" i="17"/>
  <c r="I18" i="17"/>
  <c r="H18" i="17"/>
  <c r="L17" i="17"/>
  <c r="K17" i="17"/>
  <c r="I17" i="17"/>
  <c r="H17" i="17"/>
  <c r="L16" i="17"/>
  <c r="K16" i="17"/>
  <c r="I16" i="17"/>
  <c r="H16" i="17"/>
  <c r="L15" i="17"/>
  <c r="K15" i="17"/>
  <c r="I15" i="17"/>
  <c r="H15" i="17"/>
  <c r="L14" i="17"/>
  <c r="K14" i="17"/>
  <c r="I14" i="17"/>
  <c r="H14" i="17"/>
  <c r="L13" i="17"/>
  <c r="K13" i="17"/>
  <c r="I13" i="17"/>
  <c r="H13" i="17"/>
  <c r="L12" i="17"/>
  <c r="K12" i="17"/>
  <c r="I12" i="17"/>
  <c r="H12" i="17"/>
  <c r="L11" i="17"/>
  <c r="K11" i="17"/>
  <c r="I11" i="17"/>
  <c r="H11" i="17"/>
  <c r="L10" i="17"/>
  <c r="K10" i="17"/>
  <c r="I10" i="17"/>
  <c r="H10" i="17"/>
  <c r="L9" i="17"/>
  <c r="K9" i="17"/>
  <c r="I9" i="17"/>
  <c r="H9" i="17"/>
  <c r="D7" i="16"/>
  <c r="F22" i="17" l="1"/>
  <c r="F26" i="17"/>
  <c r="J12" i="17"/>
  <c r="J14" i="17"/>
  <c r="J24" i="17"/>
  <c r="J26" i="17"/>
  <c r="J28" i="17"/>
  <c r="J19" i="17"/>
  <c r="J27" i="17"/>
  <c r="G10" i="17"/>
  <c r="G12" i="17"/>
  <c r="G14" i="17"/>
  <c r="G22" i="17"/>
  <c r="F9" i="17"/>
  <c r="F17" i="17"/>
  <c r="F19" i="17"/>
  <c r="F27" i="17"/>
  <c r="G24" i="17"/>
  <c r="E26" i="17"/>
  <c r="G11" i="17"/>
  <c r="J11" i="17"/>
  <c r="J13" i="17"/>
  <c r="J17" i="17"/>
  <c r="E18" i="17"/>
  <c r="F10" i="17"/>
  <c r="F12" i="17"/>
  <c r="F14" i="17"/>
  <c r="F18" i="17"/>
  <c r="E22" i="17"/>
  <c r="D22" i="17" s="1"/>
  <c r="G25" i="17"/>
  <c r="G17" i="17"/>
  <c r="F25" i="17"/>
  <c r="J22" i="17"/>
  <c r="J25" i="17"/>
  <c r="K8" i="17"/>
  <c r="G23" i="17"/>
  <c r="G26" i="17"/>
  <c r="L8" i="17"/>
  <c r="E10" i="17"/>
  <c r="E21" i="17"/>
  <c r="J23" i="17"/>
  <c r="J15" i="17"/>
  <c r="G13" i="17"/>
  <c r="F24" i="17"/>
  <c r="G27" i="17"/>
  <c r="G15" i="17"/>
  <c r="G20" i="17"/>
  <c r="F15" i="17"/>
  <c r="F20" i="17"/>
  <c r="E25" i="17"/>
  <c r="J10" i="17"/>
  <c r="F13" i="17"/>
  <c r="G18" i="17"/>
  <c r="J20" i="17"/>
  <c r="F23" i="17"/>
  <c r="H8" i="17"/>
  <c r="F11" i="17"/>
  <c r="E14" i="17"/>
  <c r="G16" i="17"/>
  <c r="J18" i="17"/>
  <c r="G21" i="17"/>
  <c r="I8" i="17"/>
  <c r="F16" i="17"/>
  <c r="F21" i="17"/>
  <c r="G28" i="17"/>
  <c r="J9" i="17"/>
  <c r="J16" i="17"/>
  <c r="G19" i="17"/>
  <c r="J21" i="17"/>
  <c r="F28" i="17"/>
  <c r="E17" i="17"/>
  <c r="E9" i="17"/>
  <c r="E13" i="17"/>
  <c r="G9" i="17"/>
  <c r="E20" i="17"/>
  <c r="E24" i="17"/>
  <c r="E28" i="17"/>
  <c r="E16" i="17"/>
  <c r="E12" i="17"/>
  <c r="E19" i="17"/>
  <c r="E23" i="17"/>
  <c r="E27" i="17"/>
  <c r="E11" i="17"/>
  <c r="E15" i="17"/>
  <c r="D26" i="17" l="1"/>
  <c r="D10" i="17"/>
  <c r="D12" i="17"/>
  <c r="D27" i="17"/>
  <c r="D19" i="17"/>
  <c r="D17" i="17"/>
  <c r="D24" i="17"/>
  <c r="D18" i="17"/>
  <c r="D11" i="17"/>
  <c r="D14" i="17"/>
  <c r="D23" i="17"/>
  <c r="D15" i="17"/>
  <c r="D28" i="17"/>
  <c r="F8" i="17"/>
  <c r="J8" i="17"/>
  <c r="D21" i="17"/>
  <c r="D20" i="17"/>
  <c r="D25" i="17"/>
  <c r="D13" i="17"/>
  <c r="G8" i="17"/>
  <c r="D16" i="17"/>
  <c r="D9" i="17"/>
  <c r="E8" i="17"/>
  <c r="D8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Кузнецова Ирина Викторовна</author>
  </authors>
  <commentList>
    <comment ref="M10" authorId="0" shapeId="0" xr:uid="{00000000-0006-0000-1100-000001000000}">
      <text>
        <r>
          <rPr>
            <b/>
            <sz val="9"/>
            <color indexed="81"/>
            <rFont val="Tahoma"/>
            <family val="2"/>
            <charset val="204"/>
          </rPr>
          <t>Диалайф 370, Сфера-Эстейт 408</t>
        </r>
      </text>
    </comment>
  </commentList>
</comments>
</file>

<file path=xl/sharedStrings.xml><?xml version="1.0" encoding="utf-8"?>
<sst xmlns="http://schemas.openxmlformats.org/spreadsheetml/2006/main" count="6086" uniqueCount="790">
  <si>
    <t>№ п/п</t>
  </si>
  <si>
    <t>Реестровый номер</t>
  </si>
  <si>
    <t>Наименование МО</t>
  </si>
  <si>
    <t>ВСЕГО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</si>
  <si>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</si>
  <si>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</si>
  <si>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</si>
  <si>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</si>
  <si>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</si>
  <si>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</si>
  <si>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</si>
  <si>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для пациентов урологического/гинекологического профиля</t>
  </si>
  <si>
    <t>2 балла  по ШРМ</t>
  </si>
  <si>
    <t>3 балла  по ШРМ</t>
  </si>
  <si>
    <t>2 балла по ШРМ</t>
  </si>
  <si>
    <t>3 балла по ШРМ</t>
  </si>
  <si>
    <t>022124</t>
  </si>
  <si>
    <t>ГБУЗ РВФД</t>
  </si>
  <si>
    <t>взрослые</t>
  </si>
  <si>
    <t>дети</t>
  </si>
  <si>
    <t>027001</t>
  </si>
  <si>
    <t>ГБУЗ РБ Дюртюлинская ЦРБ</t>
  </si>
  <si>
    <t>021110</t>
  </si>
  <si>
    <t>ГБУЗ РБ Детская поликлиника №2 г.Уфа</t>
  </si>
  <si>
    <t>021100</t>
  </si>
  <si>
    <t>ГБУЗ РБ Детская поликлиника №3 г.Уфа</t>
  </si>
  <si>
    <t>021120</t>
  </si>
  <si>
    <t>ГБУЗ РБ Детская поликлиника №5 г.Уфа</t>
  </si>
  <si>
    <t>021130</t>
  </si>
  <si>
    <t>ГБУЗ РБ Детская поликлиника №6 г.Уфа</t>
  </si>
  <si>
    <t>024005</t>
  </si>
  <si>
    <t>ГБУЗ РБ Белорецкая ЦРКБ</t>
  </si>
  <si>
    <t>026001</t>
  </si>
  <si>
    <t>ГБУЗ РБ Месягутовская ЦРБ</t>
  </si>
  <si>
    <t>022113</t>
  </si>
  <si>
    <t>ГБУЗ РДКБ</t>
  </si>
  <si>
    <t>021200</t>
  </si>
  <si>
    <t>ГБУЗ РБ ГДКБ №17 г.Уфа</t>
  </si>
  <si>
    <t>022204</t>
  </si>
  <si>
    <t>ГБУЗ РБ Архангельская ЦРБ</t>
  </si>
  <si>
    <t>026005</t>
  </si>
  <si>
    <t>ГБУЗ РБ Белокатайская ЦРБ</t>
  </si>
  <si>
    <t>028002</t>
  </si>
  <si>
    <t>ГБУЗ РБ Верхнеяркеевская ЦРБ</t>
  </si>
  <si>
    <t>024200</t>
  </si>
  <si>
    <t>ГБУЗ РБ ГБ 9 г. Уфа</t>
  </si>
  <si>
    <t>021424</t>
  </si>
  <si>
    <t>ГБУЗ РБ ГБ г.Салават</t>
  </si>
  <si>
    <t>028000</t>
  </si>
  <si>
    <t>ГБУЗ РБ ГКБ № 18 г. Уфа</t>
  </si>
  <si>
    <t>023500</t>
  </si>
  <si>
    <t>ГБУЗ РБ ГКБ № 5 г. Уфа</t>
  </si>
  <si>
    <t>021800</t>
  </si>
  <si>
    <t>ГБУЗ РБ ГКБ № 8 г. Уфа</t>
  </si>
  <si>
    <t>022300</t>
  </si>
  <si>
    <t>ГБУЗ РБ ГКБ № 13 г. Уфа</t>
  </si>
  <si>
    <t>022720</t>
  </si>
  <si>
    <t>ГБУЗ РБ ГКБ № 21 г. Уфа</t>
  </si>
  <si>
    <t>029001</t>
  </si>
  <si>
    <t>ГБУЗ РБ Ишимбайская ЦРБ</t>
  </si>
  <si>
    <t>022400</t>
  </si>
  <si>
    <t>ГБУЗ РБ КБСМП г. Уфа</t>
  </si>
  <si>
    <t>029100</t>
  </si>
  <si>
    <t>ГБУЗ РБ Поликлиника № 43 г. Уфа</t>
  </si>
  <si>
    <t>029300</t>
  </si>
  <si>
    <t>ГБУЗ РБ Поликлиника № 46 г. Уфа</t>
  </si>
  <si>
    <t>029700</t>
  </si>
  <si>
    <t>ГБУЗ РБ Поликлиника № 50 г. Уфа</t>
  </si>
  <si>
    <t>022220</t>
  </si>
  <si>
    <t>ГБУЗ РКГВВ</t>
  </si>
  <si>
    <t>022100</t>
  </si>
  <si>
    <t>ГБУЗ РКОД</t>
  </si>
  <si>
    <t>022130</t>
  </si>
  <si>
    <t>ГБУЗ РКЦ</t>
  </si>
  <si>
    <t>022117</t>
  </si>
  <si>
    <t>ЧУЗ РЖД Медицина г.Уфа</t>
  </si>
  <si>
    <t>022003</t>
  </si>
  <si>
    <t>ГБУЗ РБ Языковская ЦРБ</t>
  </si>
  <si>
    <t>028004</t>
  </si>
  <si>
    <t>ГБУЗ РБ Бакалинская ЦРБ</t>
  </si>
  <si>
    <t>025001</t>
  </si>
  <si>
    <t>ГБУЗ РБ Бирская ЦРБ</t>
  </si>
  <si>
    <t>021104</t>
  </si>
  <si>
    <t>ГБУЗ РБ Мелеузовская ЦРБ</t>
  </si>
  <si>
    <t>021901</t>
  </si>
  <si>
    <t>ГБУЗ РБ Учалинская ЦГБ</t>
  </si>
  <si>
    <t>021607</t>
  </si>
  <si>
    <t>ГБУЗ РБ Толбазинская ЦРБ</t>
  </si>
  <si>
    <t>022002</t>
  </si>
  <si>
    <t>ГБУЗ РБ Буздякская ЦРБ</t>
  </si>
  <si>
    <t>Итого</t>
  </si>
  <si>
    <t>Объемы комплексных посещений при оказании медицинской помощи по профилю "Медицинская реабилитация" на 2024 год в рамках базовой Программы ОМС</t>
  </si>
  <si>
    <t xml:space="preserve">Плановые объемы обращений в связи с заболеваниями  в амбулаторных условиях по Базовой программе ОМС на 2024 год </t>
  </si>
  <si>
    <t>Наименование медицинской организации</t>
  </si>
  <si>
    <t>В амбулаторных условиях обращения по поводу заболевания.</t>
  </si>
  <si>
    <t>Всего объемы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</si>
  <si>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</si>
  <si>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</si>
  <si>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</si>
  <si>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</si>
  <si>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 xml:space="preserve">Обращения МО, имеющие прикрепленное население </t>
  </si>
  <si>
    <t>всего</t>
  </si>
  <si>
    <t>финансируемые по реестрам</t>
  </si>
  <si>
    <t>по подушевому нормативу финансирования на прикрепившихся лиц</t>
  </si>
  <si>
    <t xml:space="preserve"> стоматология детская - ортодонтия</t>
  </si>
  <si>
    <t>Медицинская помощь за пределами РБ</t>
  </si>
  <si>
    <t>Резерв</t>
  </si>
  <si>
    <t>НСЗ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</si>
  <si>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</si>
  <si>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</si>
  <si>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</si>
  <si>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</si>
  <si>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</si>
  <si>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</si>
  <si>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</si>
  <si>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</si>
  <si>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</si>
  <si>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</si>
  <si>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</si>
  <si>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</si>
  <si>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</si>
  <si>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</si>
  <si>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</si>
  <si>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</si>
  <si>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</si>
  <si>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</si>
  <si>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</si>
  <si>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</si>
  <si>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</si>
  <si>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</si>
  <si>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</si>
  <si>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</si>
  <si>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</si>
  <si>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</si>
  <si>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</si>
  <si>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</si>
  <si>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</si>
  <si>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024002</t>
  </si>
  <si>
    <t>ГБУЗ РБ Бурзянская ЦРБ</t>
  </si>
  <si>
    <t>022012</t>
  </si>
  <si>
    <t>ГБУЗ РБ Зилаирская ЦРБ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</si>
  <si>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</si>
  <si>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</si>
  <si>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</si>
  <si>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</si>
  <si>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</si>
  <si>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</si>
  <si>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</si>
  <si>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</si>
  <si>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</si>
  <si>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</si>
  <si>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</si>
  <si>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</si>
  <si>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</si>
  <si>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</si>
  <si>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</si>
  <si>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ГБУЗ РБ ССМП г.Стерлитамак</t>
  </si>
  <si>
    <t>021111</t>
  </si>
  <si>
    <t>ГБУЗ РБ ГБ г.Кумертау</t>
  </si>
  <si>
    <t>021105</t>
  </si>
  <si>
    <t>ГБУЗ РБ Исянгуловская ЦРБ</t>
  </si>
  <si>
    <t>021605</t>
  </si>
  <si>
    <t>ГБУЗ РБ Красноусольская ЦРБ</t>
  </si>
  <si>
    <t>021102</t>
  </si>
  <si>
    <t>ГБУЗ РБ Мраковская ЦРБ</t>
  </si>
  <si>
    <t>021606</t>
  </si>
  <si>
    <t>ГБУЗ РБ Стерлибашевская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</si>
  <si>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</si>
  <si>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</si>
  <si>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</si>
  <si>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</si>
  <si>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</si>
  <si>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</si>
  <si>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023002</t>
  </si>
  <si>
    <t>ГБУЗ РБ Белебеевская ЦРБ</t>
  </si>
  <si>
    <t>023005</t>
  </si>
  <si>
    <t>ГБУЗ РБ Бижбулякская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</si>
  <si>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</si>
  <si>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</si>
  <si>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</si>
  <si>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</si>
  <si>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</si>
  <si>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</si>
  <si>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</si>
  <si>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</si>
  <si>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</si>
  <si>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</si>
  <si>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</si>
  <si>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</si>
  <si>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021322</t>
  </si>
  <si>
    <t>ООО "ОСЦ"</t>
  </si>
  <si>
    <t>029179</t>
  </si>
  <si>
    <t>ГАУЗ РБ Санаторий "Дуслык" г.Уфа</t>
  </si>
  <si>
    <t>027000</t>
  </si>
  <si>
    <t>ГБУЗ РБ Детская поликлиника  №4 г.Уфа</t>
  </si>
  <si>
    <t>ГБУЗ РБ Городская детская поликлиника №6 г.Уфа</t>
  </si>
  <si>
    <t>021140</t>
  </si>
  <si>
    <t>ГАУЗ РБ Детская стоматологическая поликлиника №3 г.Уфа</t>
  </si>
  <si>
    <t>021150</t>
  </si>
  <si>
    <t>ГБУЗ РБ Детская стоматологическая поликлиника  №7 г.Уфа</t>
  </si>
  <si>
    <t>ГБУЗ РБ Поликлиника №43 г.Уфа</t>
  </si>
  <si>
    <t>ГБУЗ РБ Поликлиника №46 г.Уфа</t>
  </si>
  <si>
    <t>ГБУЗ РБ Поликлиника №50 г.Уфа</t>
  </si>
  <si>
    <t>021040</t>
  </si>
  <si>
    <t>ГБУЗ РБ Стоматологическая поликлиника №1 г.Уфа</t>
  </si>
  <si>
    <t>021050</t>
  </si>
  <si>
    <t>ГБУЗ РБ Стоматологическая поликлиника №2 г.Уфа</t>
  </si>
  <si>
    <t>021060</t>
  </si>
  <si>
    <t>ГБУЗ РБ Стоматологическая поликлиника №4 г.Уфа</t>
  </si>
  <si>
    <t>021070</t>
  </si>
  <si>
    <t>ГБУЗ РБ Стоматологическая поликлиника №5 г.Уфа</t>
  </si>
  <si>
    <t>021080</t>
  </si>
  <si>
    <t>ГБУЗ РБ Стоматологическая поликлиника №6 г.Уфа</t>
  </si>
  <si>
    <t>021160</t>
  </si>
  <si>
    <t>ГАУЗ РБ Стоматологическая поликлиника №8 г.Уфа</t>
  </si>
  <si>
    <t>021310</t>
  </si>
  <si>
    <t>ГАУЗ РБ Стоматологическая поликлиника №9 г.Уфа</t>
  </si>
  <si>
    <t>029400</t>
  </si>
  <si>
    <t>ГБУЗ РБ ГКБ Демского района г.Уфы</t>
  </si>
  <si>
    <t>ГБУЗ РБ ГКБ №5 г.Уфа</t>
  </si>
  <si>
    <t>ГБУЗ РБ ГКБ №8 г.Уфа</t>
  </si>
  <si>
    <t>ГБУЗ РБ ГБ №9 г.Уфа</t>
  </si>
  <si>
    <t>ГБУЗ РБ ГКБ №13 г.Уфа</t>
  </si>
  <si>
    <t>ГБУЗ РБ ГКБ №18 г.Уфы</t>
  </si>
  <si>
    <t>023200</t>
  </si>
  <si>
    <t>ГБУЗ РБ ГКПЦ г.Уфы</t>
  </si>
  <si>
    <t>020159</t>
  </si>
  <si>
    <t>ГБУЗ РБ ЦСМП и МК</t>
  </si>
  <si>
    <t>022800</t>
  </si>
  <si>
    <t>ФГБОУ ВО БГМУ Минздрава России всего, в том числе: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</si>
  <si>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</si>
  <si>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(стоматология)</t>
  </si>
  <si>
    <t>ФГБОУ ВО БГМУ Минздрава России (офтальмология для отдельных структурных подразделений)</t>
  </si>
  <si>
    <t>025000</t>
  </si>
  <si>
    <t>ФКУЗ "МСЧ МВД России по Республике Башкортостан"</t>
  </si>
  <si>
    <t>020171</t>
  </si>
  <si>
    <t>УФИЦ РАН</t>
  </si>
  <si>
    <t>ЧУЗ "КБ "РЖД-Медицина"г.Уфа</t>
  </si>
  <si>
    <t>022202</t>
  </si>
  <si>
    <t>ГБУЗ РБ Благовещенская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</si>
  <si>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</si>
  <si>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</si>
  <si>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</si>
  <si>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</si>
  <si>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</si>
  <si>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</si>
  <si>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</si>
  <si>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</si>
  <si>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</si>
  <si>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</si>
  <si>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</si>
  <si>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</si>
  <si>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</si>
  <si>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</si>
  <si>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</si>
  <si>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</si>
  <si>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</si>
  <si>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</si>
  <si>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</si>
  <si>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</si>
  <si>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</si>
  <si>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</si>
  <si>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</si>
  <si>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</si>
  <si>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</si>
  <si>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</si>
  <si>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</si>
  <si>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</si>
  <si>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</si>
  <si>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</si>
  <si>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</si>
  <si>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</si>
  <si>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</si>
  <si>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</si>
  <si>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</si>
  <si>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</si>
  <si>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</si>
  <si>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</si>
  <si>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</si>
  <si>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</si>
  <si>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</si>
  <si>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</si>
  <si>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</si>
  <si>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ООО "Медси-Уфа"</t>
  </si>
  <si>
    <t>020172</t>
  </si>
  <si>
    <t>ООО "МЦ МЕГИ"</t>
  </si>
  <si>
    <t>020233</t>
  </si>
  <si>
    <t>ООО санаторий "Юматово"</t>
  </si>
  <si>
    <t>020170</t>
  </si>
  <si>
    <t>ООО "ЦМТ"</t>
  </si>
  <si>
    <t>020161</t>
  </si>
  <si>
    <t>ООО "Экома"</t>
  </si>
  <si>
    <t>020248</t>
  </si>
  <si>
    <t>ООО "Клиника эстетической медицины "Юхелф"</t>
  </si>
  <si>
    <t>022120</t>
  </si>
  <si>
    <t>ГБУЗ РКБ им. Г.Г.Куватова</t>
  </si>
  <si>
    <t>ГАУЗ РКОД Минздрава РБ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</si>
  <si>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</si>
  <si>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</si>
  <si>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</si>
  <si>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</si>
  <si>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</si>
  <si>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</si>
  <si>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ГБУЗ РБ КБСМП г.Уфа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</si>
  <si>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</si>
  <si>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</si>
  <si>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</si>
  <si>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</si>
  <si>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</si>
  <si>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</si>
  <si>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</si>
  <si>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</si>
  <si>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</si>
  <si>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</si>
  <si>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</si>
  <si>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</si>
  <si>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</si>
  <si>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</si>
  <si>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</si>
  <si>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020051</t>
  </si>
  <si>
    <t>АНМО "Уфимский хоспис"</t>
  </si>
  <si>
    <t>Объемы медицинской помощи по профилю "Венерология" на 2024 год.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</si>
  <si>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</si>
  <si>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</si>
  <si>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</si>
  <si>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Посещения с профилактическими и иными целями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</si>
  <si>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</si>
  <si>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</si>
  <si>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</si>
  <si>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</si>
  <si>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</si>
  <si>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Всего</t>
  </si>
  <si>
    <t xml:space="preserve">Объемы по дополнительным видам и условиям оказания медицинской помощи, не установленным базовой программой ОМС на 2024 год.                                                                                          </t>
  </si>
  <si>
    <t>В стационарных условиях</t>
  </si>
  <si>
    <t>В дневном стационаре</t>
  </si>
  <si>
    <t>-операции с имплантацией референсных маркеров</t>
  </si>
  <si>
    <t>-операции без имплантации референсных маркеров</t>
  </si>
  <si>
    <t>Реестро-вый номер</t>
  </si>
  <si>
    <t>в амбулаторных условиях</t>
  </si>
  <si>
    <t xml:space="preserve">в условиях круглосуточных стационаров </t>
  </si>
  <si>
    <t xml:space="preserve">в условиях дневных стационаров </t>
  </si>
  <si>
    <t xml:space="preserve">Посещения с профилактическими и иными целями </t>
  </si>
  <si>
    <t xml:space="preserve">Обращения в связи с заболеваниями </t>
  </si>
  <si>
    <t>Случаи госпитали-зации</t>
  </si>
  <si>
    <t>Объемы медицинской помощи по паллиативной медицинской помощи на 2024 год.</t>
  </si>
  <si>
    <t>в  условиях круглосуточного стационара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</si>
  <si>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</si>
  <si>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</si>
  <si>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</si>
  <si>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Объемы и суммы медицинской помощи по профилю "Психотерапия" на 2024 год.</t>
  </si>
  <si>
    <t>Консультативные посещения (ГБУЗ РКПТД)</t>
  </si>
  <si>
    <t>Сдучаи лечения</t>
  </si>
  <si>
    <t>из них:</t>
  </si>
  <si>
    <t>по другим профилям</t>
  </si>
  <si>
    <t>по профилю "стоматология"</t>
  </si>
  <si>
    <t xml:space="preserve">Амбулаторно-поликлиническая помощь в части комплексных посещений  для проведения диспансерного наблюдения на 2024 год </t>
  </si>
  <si>
    <t>Реестровый номер МО</t>
  </si>
  <si>
    <t>в том числе по поводу:</t>
  </si>
  <si>
    <t>сахарного диабета</t>
  </si>
  <si>
    <t>болезней системы кровообращения</t>
  </si>
  <si>
    <t>Всего, в том числе</t>
  </si>
  <si>
    <t>МТР</t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</si>
  <si>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</si>
  <si>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</si>
  <si>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</si>
  <si>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</si>
  <si>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</si>
  <si>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</si>
  <si>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</si>
  <si>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</si>
  <si>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</si>
  <si>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</si>
  <si>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</si>
  <si>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</si>
  <si>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</si>
  <si>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8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</si>
  <si>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8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</si>
  <si>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8"/>
        <rFont val="Times New Roman"/>
        <family val="1"/>
        <charset val="204"/>
      </rPr>
      <t>БУЗ  ЦСМК и МК</t>
    </r>
  </si>
  <si>
    <r>
      <rPr>
        <sz val="8"/>
        <color indexed="8"/>
        <rFont val="Times New Roman"/>
        <family val="1"/>
        <charset val="204"/>
      </rPr>
      <t>ООО "МЦ МЕГИ</t>
    </r>
    <r>
      <rPr>
        <sz val="8"/>
        <color theme="1"/>
        <rFont val="Times New Roman"/>
        <family val="1"/>
        <charset val="204"/>
      </rPr>
      <t>"</t>
    </r>
  </si>
  <si>
    <t>Объемы исследований и иных медицинских вмешательств, проводимых в рамках углубленной диспансеризации  на 2024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</si>
  <si>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</si>
  <si>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</si>
  <si>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</si>
  <si>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</si>
  <si>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объеме:</t>
  </si>
  <si>
    <t>посещение терапевта</t>
  </si>
  <si>
    <t>в том числе услуги
 в объеме :</t>
  </si>
  <si>
    <t>проведение теста с 6 минутной ходьбой *</t>
  </si>
  <si>
    <t>определение концентрации Д-димера в крови*</t>
  </si>
  <si>
    <t>эхокардиография*</t>
  </si>
  <si>
    <t>КТ легких*</t>
  </si>
  <si>
    <t>проведение дуплексного сканирования вен нижних конечностей*</t>
  </si>
  <si>
    <t>Всего, в том числе по МО</t>
  </si>
  <si>
    <t>Объемы  исследований кала на скрытую кровь иммунохимическим методом (количественный метод),  проводимых   в рамках первого этапа диспансеризации  определенных групп  взрослого населения, на 2024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</si>
  <si>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</si>
  <si>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</si>
  <si>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</si>
  <si>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</si>
  <si>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Объемы медицинской помощи, оказываемой в центрах здоровья, на 2024 год.</t>
  </si>
  <si>
    <t>Всего посещений</t>
  </si>
  <si>
    <t>в том числе:</t>
  </si>
  <si>
    <t>Взрослое население</t>
  </si>
  <si>
    <t>Детское население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</si>
  <si>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</si>
  <si>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</si>
  <si>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</si>
  <si>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ГБУЗ РБ ГКБ №1 города Стерлитамак</t>
  </si>
  <si>
    <t>ГБУЗ РБ ГКБ Демского района г.Уфа</t>
  </si>
  <si>
    <t>ГБУЗ РБ ГКБ №18 г.Уфа</t>
  </si>
  <si>
    <t>Объемы комплексных посещений  в части ведения школ для больных  сахарным диабетом на 2024 год</t>
  </si>
  <si>
    <t>Комплексные посещения в части ведения школ для больных  сахарным диабетом</t>
  </si>
  <si>
    <t>Всего комплексных посещений</t>
  </si>
  <si>
    <t>в том числе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</si>
  <si>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</si>
  <si>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</si>
  <si>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</si>
  <si>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t>ГБУЗ РБ Станция скорой медицинской помощи г.Стерлитамак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</si>
  <si>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</si>
  <si>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</si>
  <si>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</si>
  <si>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</si>
  <si>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</si>
  <si>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</si>
  <si>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</si>
  <si>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</si>
  <si>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</si>
  <si>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</si>
  <si>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</si>
  <si>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</si>
  <si>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</si>
  <si>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</si>
  <si>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</si>
  <si>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</si>
  <si>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2024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</si>
  <si>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</si>
  <si>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Итого посещений</t>
  </si>
  <si>
    <t>Посещения МО, не имеющих прикрепленного населения</t>
  </si>
  <si>
    <t>Посещения МО,  имеющих прикрепленное население</t>
  </si>
  <si>
    <t>Посещения по центрам  здоровья</t>
  </si>
  <si>
    <t xml:space="preserve">финансируемые по реестрам 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</si>
  <si>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2024 год </t>
  </si>
  <si>
    <t>Посещения  медицинских работников, имеющих среднее медицинское образование,ведущих самостоятельный прием</t>
  </si>
  <si>
    <t xml:space="preserve">Амбулаторно-поликлиническая помощь в части профилактических посещений по разовым посещениям в связи с заболеванием на 2024 год </t>
  </si>
  <si>
    <t xml:space="preserve">Разовые посещения в связи с заболеванием
</t>
  </si>
  <si>
    <t>Гериатрия</t>
  </si>
  <si>
    <t>Консультативные посещения</t>
  </si>
  <si>
    <t>первичный прием</t>
  </si>
  <si>
    <t>повторная консультация</t>
  </si>
  <si>
    <t>посещения в АЦКТ (пульманолог)</t>
  </si>
  <si>
    <t>стоматология детская - ортодонтия</t>
  </si>
  <si>
    <t>в том числе  посещение для диспансерного наблюдения пациентов после трансплантации сердца</t>
  </si>
  <si>
    <t xml:space="preserve">Посещения с иными целями для проведения диспансерного наблюдения </t>
  </si>
  <si>
    <t>взрослое население  
(по диагнозам, не вошедшим в приказы Минздрава России от 15.03.2022 № 168н, от 04.06.2020 №548н)</t>
  </si>
  <si>
    <t xml:space="preserve">финансируемые по реестрам  </t>
  </si>
  <si>
    <t xml:space="preserve">по профилю "стоматология"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</si>
  <si>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</si>
  <si>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</si>
  <si>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</si>
  <si>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</si>
  <si>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</si>
  <si>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</si>
  <si>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</si>
  <si>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</si>
  <si>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</si>
  <si>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</si>
  <si>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</si>
  <si>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</si>
  <si>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</si>
  <si>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</si>
  <si>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</si>
  <si>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ЦСМК и 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</si>
  <si>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</si>
  <si>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посещений с профилактическими и иными целями  в рамках базовой программы ОМС на 2024 год </t>
  </si>
  <si>
    <t>в  том числе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</si>
  <si>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</si>
  <si>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</si>
  <si>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</si>
  <si>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</si>
  <si>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</si>
  <si>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</si>
  <si>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</si>
  <si>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</si>
  <si>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</si>
  <si>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</si>
  <si>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</si>
  <si>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Объемы комплексных посещений  в части ведения школ для больных с сахарным диабетом</t>
  </si>
  <si>
    <t>*углубленная диспансеризация включает проведение отдельных диагностических исследований (услуг) в объеме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</si>
  <si>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Объем, перечень видов ВМП, финансовое обеспечение которых осуществляется за счет средств ОМС, установленные Комиссией на 2024 год</t>
  </si>
  <si>
    <t>№ группы ВМП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</si>
  <si>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</si>
  <si>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</si>
  <si>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</si>
  <si>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</si>
  <si>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 № 18 г. Уфа</t>
  </si>
  <si>
    <t>ГБУЗ РБ ГКПЦ г. Уфы</t>
  </si>
  <si>
    <t>ГБУЗ РБ ГБ г. Салават</t>
  </si>
  <si>
    <t>ГБУЗ РБ ГКБ № 1  г. Стерлитамак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</si>
  <si>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</si>
  <si>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</si>
  <si>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</si>
  <si>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</si>
  <si>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</si>
  <si>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ФГБОУ ВО БГМУ МЗ РФ</t>
  </si>
  <si>
    <t>ООО "МД-Проект 2010"</t>
  </si>
  <si>
    <t>ООО "Медсервис"</t>
  </si>
  <si>
    <t>ИТОГО по МО</t>
  </si>
  <si>
    <t>ИТОГО с МТР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</si>
  <si>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</si>
  <si>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</si>
  <si>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</si>
  <si>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</si>
  <si>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</si>
  <si>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</si>
  <si>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</si>
  <si>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</si>
  <si>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</si>
  <si>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</si>
  <si>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</si>
  <si>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</si>
  <si>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</si>
  <si>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</si>
  <si>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</si>
  <si>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</si>
  <si>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</si>
  <si>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</si>
  <si>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>Хирургия</t>
  </si>
  <si>
    <t xml:space="preserve">Челюстно-лицевая хирургия </t>
  </si>
  <si>
    <t xml:space="preserve">Эндокринология </t>
  </si>
  <si>
    <t>Объемы оказания медицинской помощи в условиях круглосуточного стационара, на 2024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</si>
  <si>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</si>
  <si>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</si>
  <si>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</si>
  <si>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 , без МР</t>
  </si>
  <si>
    <t>ВМП 2024</t>
  </si>
  <si>
    <t>Всего в рамках базовой программы ОМС (КСГ+ВМП)</t>
  </si>
  <si>
    <t>профиль "Медицинская реабилитация"</t>
  </si>
  <si>
    <t>ИТОГО</t>
  </si>
  <si>
    <t>КСГ с онкологическими заболеваниями</t>
  </si>
  <si>
    <t xml:space="preserve">КСГ по COVID-19 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</si>
  <si>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</si>
  <si>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</si>
  <si>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</si>
  <si>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</si>
  <si>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</si>
  <si>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</si>
  <si>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</si>
  <si>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</si>
  <si>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ЧУЗ "КБ "РЖД-Медицина" г. Уфа" </t>
  </si>
  <si>
    <t xml:space="preserve">ООО "Октябрьский сосудистый центр" </t>
  </si>
  <si>
    <t>3А</t>
  </si>
  <si>
    <t>отделения уровня</t>
  </si>
  <si>
    <t>1А</t>
  </si>
  <si>
    <t>3 А</t>
  </si>
  <si>
    <t xml:space="preserve">ООО "Медсервис" (г. Салават) 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</si>
  <si>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</si>
  <si>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</si>
  <si>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</si>
  <si>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</si>
  <si>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</si>
  <si>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</si>
  <si>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</si>
  <si>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</si>
  <si>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</si>
  <si>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</si>
  <si>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</si>
  <si>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</si>
  <si>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</si>
  <si>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</si>
  <si>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</si>
  <si>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№ 18 г. Уфы</t>
  </si>
  <si>
    <t>ГБУЗ РБ ГКБ N 21 г. Уфа</t>
  </si>
  <si>
    <t>3 В</t>
  </si>
  <si>
    <t xml:space="preserve">ООО "МД Проект 2010" </t>
  </si>
  <si>
    <t>ФГБОУ ВО БГМУ Минздрава России</t>
  </si>
  <si>
    <t>Объемы медицинской помощи за пределами РБ</t>
  </si>
  <si>
    <t>КСГ (за исключением КСГ с онкологическими заболеваниями,COVID-19)</t>
  </si>
  <si>
    <t xml:space="preserve">ГБУЗ РКИБ </t>
  </si>
  <si>
    <t>ФГБОУ ВО БГМУ Минздрава России (офтальмология для отдельного структурного подразделения)</t>
  </si>
  <si>
    <t>ФГБОУ ВО БГМУ Минздрава России (без стоматологии, офтальмологии)</t>
  </si>
  <si>
    <t>ФГБОУ ВО БГМУ Минздрава России, в т.ч.</t>
  </si>
  <si>
    <t>ЧУЗ "КБ "РЖД-МЕДИЦИНА" Г.УФА"</t>
  </si>
  <si>
    <t>Поликлиника УФИЦ РАН</t>
  </si>
  <si>
    <t>ГБУЗ РБ Детская стоматологическая поликлиника №7 г.Уфа</t>
  </si>
  <si>
    <t>ГБУЗ РБ Детская поликлиника №4 г.Уфа</t>
  </si>
  <si>
    <t>ООО Медсервис, г. Салават</t>
  </si>
  <si>
    <t>по профилю "офтальмология"</t>
  </si>
  <si>
    <t>по профилю "травматология и ортопедия"</t>
  </si>
  <si>
    <t>в том числе на травматологические пункты:</t>
  </si>
  <si>
    <t>Объемы всего на 2024 год</t>
  </si>
  <si>
    <t>Наименование учреждения здравоохранения</t>
  </si>
  <si>
    <t>Объемы медицинской помощи в амбулаторно-поликлинических условиях в неотложной форме на 2024 год.</t>
  </si>
  <si>
    <t xml:space="preserve">Объемы отдельных диагностических (лабораторных) исследований, оказываемых в амбулаторно-поликлинических условиях на 2024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</si>
  <si>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</si>
  <si>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</si>
  <si>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</si>
  <si>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</si>
  <si>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</si>
  <si>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</si>
  <si>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>ГАУЗ РБ Учалинская ЦГБ</t>
  </si>
  <si>
    <t xml:space="preserve">ООО "МедТех" г. Сибай                                                          </t>
  </si>
  <si>
    <t>ГБУЗ РБ ГКБ № 1 г.Стерлитамак</t>
  </si>
  <si>
    <t>ГБУЗ РБ ГБ г. Кумертау</t>
  </si>
  <si>
    <t>ООО "Медсервис" (г. Салават)</t>
  </si>
  <si>
    <t>ГБУЗ РБ ГКБ Демского района г. Уфа</t>
  </si>
  <si>
    <t>ГАУЗ РБ ГКБ № 18 г. Уфа</t>
  </si>
  <si>
    <t xml:space="preserve">ГБУЗ РБ ГКБ № 21 г. Уфа 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</si>
  <si>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</si>
  <si>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</si>
  <si>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</si>
  <si>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Объемы отдельных диагностических исследований, оказываемых в амбулаторно-поликлинических условиях, на 2024 год.                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</si>
  <si>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</si>
  <si>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</si>
  <si>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</si>
  <si>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</si>
  <si>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</si>
  <si>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ДБ г. Стерлитамак</t>
  </si>
  <si>
    <t>ГБУЗ РКБ им.Г.Г.Куватова</t>
  </si>
  <si>
    <t>Объемы отдельных диагностических (лабораторных) исследований, оказываемых в амбулаторно-поликлинических условиях на 2024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</si>
  <si>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</si>
  <si>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</si>
  <si>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</si>
  <si>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</si>
  <si>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</si>
  <si>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</si>
  <si>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16.09.2022 г. № 1476-А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</si>
  <si>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</si>
  <si>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</si>
  <si>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</si>
  <si>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</si>
  <si>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</si>
  <si>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</si>
  <si>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</si>
  <si>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</si>
  <si>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</si>
  <si>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</si>
  <si>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</si>
  <si>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</si>
  <si>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</si>
  <si>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</si>
  <si>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</si>
  <si>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</si>
  <si>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</si>
  <si>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2024 год в амбулаторных условиях</t>
  </si>
  <si>
    <t xml:space="preserve">План на 2024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</si>
  <si>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</si>
  <si>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</si>
  <si>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Количество  лабораторных исследований "Тестирование на наличие респираторных инфекций, включая вирус гриппа" на 2024 год в амбулаторных условиях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</si>
  <si>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</si>
  <si>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Определение РНК вируса гриппа A и В (Influenza virus A/B) в мазках со слизистой оболочки ротоглотки методом ПЦР</t>
  </si>
  <si>
    <t xml:space="preserve">  ФГБОУ ВО БГМУ Минздрава России</t>
  </si>
  <si>
    <t xml:space="preserve">  ГБУЗ РМГЦ</t>
  </si>
  <si>
    <t xml:space="preserve">  ГБУЗ РБ ГБ г.Нефтекамск</t>
  </si>
  <si>
    <t xml:space="preserve">  ГБУЗ РБ КБСМП г.Уфа</t>
  </si>
  <si>
    <t xml:space="preserve"> ГБУЗ РБ ГКБ № 1 г. Стерлитамак</t>
  </si>
  <si>
    <t xml:space="preserve">  ГБУЗ РКИБ</t>
  </si>
  <si>
    <t xml:space="preserve">  ГБУЗ РБ Белорецкая ЦРКБ</t>
  </si>
  <si>
    <t xml:space="preserve">  ГБУЗ РКБ им. Г.Г. Куватова</t>
  </si>
  <si>
    <t xml:space="preserve">  ГБУЗ РБ ГКБ № 13 г. Уфа</t>
  </si>
  <si>
    <t xml:space="preserve">  ГБУЗ РБ ГБ г. Салават</t>
  </si>
  <si>
    <t xml:space="preserve">  ГБУЗ РБ Дюртюлинская ЦРБ</t>
  </si>
  <si>
    <t xml:space="preserve">  ГБУЗ РБ ЦГБ г. Сибай</t>
  </si>
  <si>
    <t xml:space="preserve">  ГБУЗ РБ ГБ № 1 г. Октябрьский</t>
  </si>
  <si>
    <t xml:space="preserve">  ГБУЗ РБ ГБ г. Кумертау</t>
  </si>
  <si>
    <t xml:space="preserve">  ООО Медсервис г. Салават</t>
  </si>
  <si>
    <t>ГБУЗ РБ ГБ №1 г.Стерлитамак</t>
  </si>
  <si>
    <t>радио-метрия</t>
  </si>
  <si>
    <t>Однофотонная эмиссионная компьютерная томография, совмещенная с компьютерной томографией (ОФЭКТ/КТ)</t>
  </si>
  <si>
    <t>Однофотон-ная эмиссион-ная компьютер-ная томография (ОФЭКТ)</t>
  </si>
  <si>
    <t>сцинти-графия дина-мическая</t>
  </si>
  <si>
    <t>сцинти-графия планарная</t>
  </si>
  <si>
    <t>сцинти-графия в режиме "все тело"</t>
  </si>
  <si>
    <t>Ультразвуковое скрининговое исследование в сроке беременности 30-34 недели</t>
  </si>
  <si>
    <t>Ультразвуковое скрининговое исследование в сроке беременности 18-21 неделя</t>
  </si>
  <si>
    <t>Ультразвуковое скрининговое исследование в сроке беременности 11-14 недель</t>
  </si>
  <si>
    <t xml:space="preserve">Рено-графия </t>
  </si>
  <si>
    <t xml:space="preserve">Сцинтиграфия </t>
  </si>
  <si>
    <t>Исследование уровня хлоридов в поте</t>
  </si>
  <si>
    <t>Ультразвуковое скрининговое исследование</t>
  </si>
  <si>
    <t>Компьютерная томография в центре ПЭТ</t>
  </si>
  <si>
    <t xml:space="preserve">Лучевая терапия                          </t>
  </si>
  <si>
    <t xml:space="preserve">Радиоизотопная диагностика </t>
  </si>
  <si>
    <t xml:space="preserve">Объемы отдельных диагностических (лабораторных) исследований, оказываемых в амбулаторно-поликлинических условиях, на 2024 год                                                                                                                                  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</si>
  <si>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</si>
  <si>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</si>
  <si>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</si>
  <si>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</si>
  <si>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 xml:space="preserve">в том числе: </t>
  </si>
  <si>
    <t>Врачебные</t>
  </si>
  <si>
    <t xml:space="preserve">Специализ.  вызовы </t>
  </si>
  <si>
    <t xml:space="preserve"> пациентам с новой коронавирусной инфекцией COVID-19</t>
  </si>
  <si>
    <t>фельдшерские с применением тромболи-тических препаратов</t>
  </si>
  <si>
    <t>врачебные с применением тромболи-тических препаратов</t>
  </si>
  <si>
    <t>(ГБУЗ РБ ЦСМП и МК</t>
  </si>
  <si>
    <t>в том сисле  пациентам с новой коронавирусной инфекцией COVID-19</t>
  </si>
  <si>
    <t>в том числе  эвакуация, не менее 5%</t>
  </si>
  <si>
    <t>Объемы сеансов (услуг) заместительной почечной терапии методами гемодиализа и перитонеального диализа на 2024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</si>
  <si>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</si>
  <si>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</si>
  <si>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</si>
  <si>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</si>
  <si>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</si>
  <si>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</si>
  <si>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</si>
  <si>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</si>
  <si>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</si>
  <si>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</si>
  <si>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</si>
  <si>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</si>
  <si>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</si>
  <si>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</si>
  <si>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</si>
  <si>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</si>
  <si>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</si>
  <si>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 xml:space="preserve">ГБУЗ РБ ГКБ № 21 г.Уфа </t>
  </si>
  <si>
    <t>ГБУЗ РБ ГКБ № 18 г.Уфы</t>
  </si>
  <si>
    <t xml:space="preserve">ГБУЗ РБ ГБ г. Нефтекамск </t>
  </si>
  <si>
    <t>ООО "МЦ "Агидель""</t>
  </si>
  <si>
    <t>Прирост регистра пациентов (на 10%)</t>
  </si>
  <si>
    <t>ИТОГО с учетом прироста регистра пациентов на 10%</t>
  </si>
  <si>
    <t>ВМП  профиль "онкология"</t>
  </si>
  <si>
    <t>профиль "онкология"</t>
  </si>
  <si>
    <t>КСГ для случаев проведения ЭКО</t>
  </si>
  <si>
    <t>ds12.016-ds12.019 (вирусные гепатиты)</t>
  </si>
  <si>
    <t>ds36.012-ds36.013 (иммунизация недоношенных)</t>
  </si>
  <si>
    <t>ds18.003 "нефрология (без диализа)"</t>
  </si>
  <si>
    <t>021268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</si>
  <si>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2024 год.</t>
  </si>
  <si>
    <t>Плановые объемы скорой медицинской помощи в рамках Базовой программы ОМС на 2024 год</t>
  </si>
  <si>
    <t>020052</t>
  </si>
  <si>
    <t>ГБУЗ РЦПБ СО СПИДОМ И ИЗ</t>
  </si>
  <si>
    <t>Осуществление мероприятий по долечиванию работающих граждан в санаторно-курортных организациях в рамках дополнительной медицинской помощи, не установленной базовой программой ОМС</t>
  </si>
  <si>
    <t>Обеспечение населения услугами по проведению операций с использованием аппаратного комплекса Кибер-нож</t>
  </si>
  <si>
    <t>ГБУЗ РБ ГКБ  № 21 г. Уфа</t>
  </si>
  <si>
    <t xml:space="preserve">Плановые объемы по  программе ОМС на 2024 год специализированной медицинской помощи в условиях дневного стационара. </t>
  </si>
  <si>
    <t>Всего по БП</t>
  </si>
  <si>
    <t>По КСГ (без мед.реабил., ВМП)</t>
  </si>
  <si>
    <t>Профиль "медицинская реабилитация"</t>
  </si>
  <si>
    <t xml:space="preserve">АО "Санаторий "Зеленая роща" </t>
  </si>
  <si>
    <t>ООО "Клиника Фомина Уфа"</t>
  </si>
  <si>
    <t>из них          1 этап углубленной диспансеризации</t>
  </si>
  <si>
    <t>Обращения для проведения диспансеризации определенных групп взрослого населения 
(2 этап)</t>
  </si>
  <si>
    <t xml:space="preserve"> Обращения для проведения 2 этапа углубленной диспансеризации (врач-терапевт)</t>
  </si>
  <si>
    <t xml:space="preserve"> Обращения для проведения 2 этапа диспансеризации взрослого населения по оценке репродуктивного здоровья</t>
  </si>
  <si>
    <r>
      <t xml:space="preserve">Обращения для проведения диспансерного наблюдения </t>
    </r>
    <r>
      <rPr>
        <b/>
        <sz val="9"/>
        <color theme="1"/>
        <rFont val="Times New Roman"/>
        <family val="1"/>
        <charset val="204"/>
      </rPr>
      <t xml:space="preserve">детского населения  </t>
    </r>
    <r>
      <rPr>
        <sz val="9"/>
        <color theme="1"/>
        <rFont val="Times New Roman"/>
        <family val="1"/>
        <charset val="204"/>
      </rPr>
      <t xml:space="preserve">
(приказ Минздрава России от 16.05.2019 № 302н)</t>
    </r>
  </si>
  <si>
    <t>Амбулаторно-поликлиническая помощь в части профилактических посещений для проведения диспансерного наблюдения на 2024 год *</t>
  </si>
  <si>
    <t>*в соответствии с письмом Минздрава России от 31.01.2024 № 31-2/И/2-1602 "О формировании и экономическом обосновании территориальных программ государственных гарантий бесплатного оказания гражданам медицинской помощи на 2024-2026 годы" диспансерное наблюдение детей, за исключением проживающих в организациях социального обслуживания (детских домах-интернатах), предоставляющие социальные услуги в стационарной форме, включено в объемы медицинской помощи по обращениям в связи с заболеваниями.</t>
  </si>
  <si>
    <r>
      <t xml:space="preserve">Комплексные посещения для диспансерного наблюдения отдельных категорий граждан из числа взрослого населения и </t>
    </r>
    <r>
      <rPr>
        <b/>
        <sz val="9"/>
        <color theme="1"/>
        <rFont val="Times New Roman"/>
        <family val="1"/>
        <charset val="204"/>
      </rPr>
      <t>детей, проживающих в организациях социального обслуживания</t>
    </r>
    <r>
      <rPr>
        <sz val="9"/>
        <color theme="1"/>
        <rFont val="Times New Roman"/>
        <family val="1"/>
        <charset val="204"/>
      </rPr>
      <t xml:space="preserve">
(приказ Минздрава России от 15.03.2022 № 168н, от 4 июня 2020 г. № 548н, приказ Минздрава России от 16.05.2019 № 302н)</t>
    </r>
  </si>
  <si>
    <t>дети, проживающие в организациях социального обслуживания</t>
  </si>
  <si>
    <t xml:space="preserve"> онкологических заболеваний </t>
  </si>
  <si>
    <t xml:space="preserve">других заболеваний </t>
  </si>
  <si>
    <t xml:space="preserve">отдельные категории граждан из числа взрослого населения </t>
  </si>
  <si>
    <t>Комплексные посещения для проведения диспансеризации взрослого населения по оценке репродуктивного здоровья на 2024 год</t>
  </si>
  <si>
    <t>1 этап диспансеризации</t>
  </si>
  <si>
    <t>Итого комплексных посещений</t>
  </si>
  <si>
    <t>женщины</t>
  </si>
  <si>
    <t>мужчины</t>
  </si>
  <si>
    <t xml:space="preserve">возраст 18-49 </t>
  </si>
  <si>
    <t xml:space="preserve">возраст 18-29 </t>
  </si>
  <si>
    <t xml:space="preserve">возраст 30-49 </t>
  </si>
  <si>
    <t>Всего , в том числе по МО</t>
  </si>
  <si>
    <t>ГБУЗ РБ Белорецкая ЦРБ</t>
  </si>
  <si>
    <t>ГБУЗ РБ Большеустикинская ЦРБ</t>
  </si>
  <si>
    <t>ГБУЗ РБ ГБ № 9 г. Уфа</t>
  </si>
  <si>
    <t xml:space="preserve">ГБУЗ РБ ГБ г. Салават  </t>
  </si>
  <si>
    <t xml:space="preserve">ГБУЗ РБ ГКБ № 1 г. Стерлитамак </t>
  </si>
  <si>
    <t xml:space="preserve">ГБУЗ РБ ГКБ № 5 г. Уфа </t>
  </si>
  <si>
    <t xml:space="preserve">ГБУЗ РБ ГКБ Демского района г.Уфы </t>
  </si>
  <si>
    <t>ГБУЗ РБ Кармаскалинская  ЦРБ</t>
  </si>
  <si>
    <t xml:space="preserve">ГБУЗ РБ Поликлиника № 50 г. Уфа </t>
  </si>
  <si>
    <t>ГБУЗ РБ ЦГБ г. Сибай</t>
  </si>
  <si>
    <t>ООО "Медсервис" г. Салават</t>
  </si>
  <si>
    <t>ФГБНУ УФИЦ РАН</t>
  </si>
  <si>
    <t>ФГБУЗ "МСЧ № 142 ФМБА"</t>
  </si>
  <si>
    <t>ЧУЗ "КБ "РЖД-Медицина" г. Уфа"</t>
  </si>
  <si>
    <t>3-х сторон.дог.</t>
  </si>
  <si>
    <t>ООО "ДОКТОР ВЕН"</t>
  </si>
  <si>
    <t>Посещения для проведения диспансерного наблюдения (взрослые по диагнозам, не вошедшим в приказы  Минздрава России от 15.03.2022 № 168н,от 04.06.2020 №548н)</t>
  </si>
  <si>
    <t>по подушевому нормативу финансирования на прикрепившихся лиц по профилю "стоматология"</t>
  </si>
  <si>
    <r>
      <t>1 этап оценки репродуктивного здоровья</t>
    </r>
    <r>
      <rPr>
        <b/>
        <sz val="9"/>
        <color rgb="FF000000"/>
        <rFont val="Times New Roman"/>
        <family val="1"/>
        <charset val="204"/>
      </rPr>
      <t>*</t>
    </r>
  </si>
  <si>
    <t>Всего (гр.9+гр.11)</t>
  </si>
  <si>
    <t>020066</t>
  </si>
  <si>
    <t>План в рамках Приказа МЗ РБ 
от 07.12.2023  г. № 2316-А
 (2 этап скрининга колоректального рака)                                                                                            ВСЕГО</t>
  </si>
  <si>
    <t>020058</t>
  </si>
  <si>
    <t>Протокол 20-23</t>
  </si>
  <si>
    <t>Отклонение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</si>
  <si>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№6 г.Уфа</t>
    </r>
  </si>
  <si>
    <t>*1 этап  диспансеризации оценки репродуктивного здоровья проводится одновременно с прохождением профилактического медицинского осмотра или диспансеризации.</t>
  </si>
  <si>
    <t>Объемы по организации медицинской помощи по профилю «Наркология»  на 2024 год.</t>
  </si>
  <si>
    <t xml:space="preserve">АО Санаторий Зеленая роща </t>
  </si>
  <si>
    <t xml:space="preserve">Объемы и суммы по оказанию специализированной медицинской помощи больным биологически опасными инфекционными заболеваниями (туберкулез, ВИЧ-инфекция, вирусные гепатиты В и С на 2024 год.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</si>
</sst>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_ ;\-#,##0\ "/>
    <numFmt numFmtId="165" formatCode="#,##0.000"/>
    <numFmt numFmtId="166" formatCode="000000"/>
    <numFmt numFmtId="167" formatCode="#,##0.0000"/>
    <numFmt numFmtId="168" formatCode="#,##0.0"/>
    <numFmt numFmtId="169" formatCode="0.0"/>
  </numFmts>
  <fonts count="8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Times New Roman Cyr"/>
      <charset val="204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0"/>
      <color rgb="FF0070C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Fill="0" applyProtection="0"/>
    <xf numFmtId="0" fontId="1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40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3" fillId="0" borderId="0"/>
    <xf numFmtId="0" fontId="1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88">
    <xf numFmtId="0" fontId="0" fillId="0" borderId="0" xfId="0"/>
    <xf numFmtId="0" fontId="7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/>
    </xf>
    <xf numFmtId="49" fontId="9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center" wrapText="1"/>
    </xf>
    <xf numFmtId="49" fontId="11" fillId="2" borderId="1" xfId="2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right" vertical="center" wrapText="1"/>
    </xf>
    <xf numFmtId="0" fontId="5" fillId="2" borderId="1" xfId="2" applyFont="1" applyFill="1" applyBorder="1" applyAlignment="1">
      <alignment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6" applyFont="1" applyFill="1" applyBorder="1" applyAlignment="1">
      <alignment horizontal="left" vertical="center" wrapText="1"/>
    </xf>
    <xf numFmtId="3" fontId="21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22" fillId="0" borderId="0" xfId="0" applyFont="1" applyFill="1"/>
    <xf numFmtId="3" fontId="17" fillId="0" borderId="0" xfId="0" applyNumberFormat="1" applyFont="1" applyFill="1" applyAlignment="1">
      <alignment horizontal="center"/>
    </xf>
    <xf numFmtId="3" fontId="22" fillId="0" borderId="0" xfId="0" applyNumberFormat="1" applyFont="1" applyFill="1" applyAlignment="1">
      <alignment horizontal="center"/>
    </xf>
    <xf numFmtId="4" fontId="23" fillId="0" borderId="0" xfId="0" applyNumberFormat="1" applyFont="1" applyFill="1" applyAlignment="1">
      <alignment horizontal="center"/>
    </xf>
    <xf numFmtId="4" fontId="22" fillId="0" borderId="0" xfId="0" applyNumberFormat="1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0" fontId="25" fillId="0" borderId="0" xfId="0" applyFont="1" applyFill="1"/>
    <xf numFmtId="3" fontId="14" fillId="0" borderId="15" xfId="3" applyNumberFormat="1" applyFont="1" applyFill="1" applyBorder="1" applyAlignment="1">
      <alignment horizontal="center" vertical="center" wrapText="1"/>
    </xf>
    <xf numFmtId="3" fontId="14" fillId="0" borderId="4" xfId="3" applyNumberFormat="1" applyFont="1" applyFill="1" applyBorder="1" applyAlignment="1">
      <alignment horizontal="center" vertical="center" wrapText="1"/>
    </xf>
    <xf numFmtId="4" fontId="14" fillId="0" borderId="13" xfId="3" applyNumberFormat="1" applyFont="1" applyFill="1" applyBorder="1" applyAlignment="1">
      <alignment horizontal="center" vertical="center" wrapText="1"/>
    </xf>
    <xf numFmtId="3" fontId="14" fillId="0" borderId="4" xfId="0" applyNumberFormat="1" applyFont="1" applyFill="1" applyBorder="1" applyAlignment="1">
      <alignment horizontal="center" vertical="center" wrapText="1"/>
    </xf>
    <xf numFmtId="3" fontId="14" fillId="0" borderId="13" xfId="0" applyNumberFormat="1" applyFont="1" applyFill="1" applyBorder="1" applyAlignment="1">
      <alignment horizontal="center" vertical="center" wrapText="1"/>
    </xf>
    <xf numFmtId="3" fontId="14" fillId="0" borderId="14" xfId="0" applyNumberFormat="1" applyFont="1" applyFill="1" applyBorder="1" applyAlignment="1">
      <alignment horizontal="center" vertical="center" wrapText="1"/>
    </xf>
    <xf numFmtId="3" fontId="26" fillId="0" borderId="13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/>
    </xf>
    <xf numFmtId="3" fontId="23" fillId="0" borderId="13" xfId="0" applyNumberFormat="1" applyFont="1" applyFill="1" applyBorder="1" applyAlignment="1">
      <alignment horizontal="center"/>
    </xf>
    <xf numFmtId="3" fontId="23" fillId="0" borderId="4" xfId="0" applyNumberFormat="1" applyFont="1" applyFill="1" applyBorder="1" applyAlignment="1">
      <alignment horizontal="center"/>
    </xf>
    <xf numFmtId="3" fontId="23" fillId="0" borderId="14" xfId="0" applyNumberFormat="1" applyFont="1" applyFill="1" applyBorder="1" applyAlignment="1">
      <alignment horizontal="center"/>
    </xf>
    <xf numFmtId="3" fontId="23" fillId="0" borderId="0" xfId="0" applyNumberFormat="1" applyFont="1" applyFill="1" applyAlignment="1">
      <alignment horizontal="center"/>
    </xf>
    <xf numFmtId="0" fontId="23" fillId="0" borderId="0" xfId="0" applyFont="1" applyFill="1"/>
    <xf numFmtId="3" fontId="26" fillId="0" borderId="15" xfId="0" applyNumberFormat="1" applyFont="1" applyFill="1" applyBorder="1" applyAlignment="1">
      <alignment horizontal="center" vertical="center"/>
    </xf>
    <xf numFmtId="3" fontId="23" fillId="0" borderId="14" xfId="0" applyNumberFormat="1" applyFont="1" applyFill="1" applyBorder="1" applyAlignment="1">
      <alignment horizontal="center" vertical="center"/>
    </xf>
    <xf numFmtId="3" fontId="22" fillId="0" borderId="1" xfId="3" applyNumberFormat="1" applyFont="1" applyFill="1" applyBorder="1" applyAlignment="1">
      <alignment horizontal="center" vertical="center" wrapText="1"/>
    </xf>
    <xf numFmtId="3" fontId="17" fillId="0" borderId="16" xfId="0" applyNumberFormat="1" applyFont="1" applyFill="1" applyBorder="1" applyAlignment="1">
      <alignment horizontal="center"/>
    </xf>
    <xf numFmtId="3" fontId="22" fillId="0" borderId="6" xfId="0" applyNumberFormat="1" applyFont="1" applyFill="1" applyBorder="1" applyAlignment="1">
      <alignment horizontal="center"/>
    </xf>
    <xf numFmtId="4" fontId="23" fillId="0" borderId="13" xfId="0" applyNumberFormat="1" applyFont="1" applyFill="1" applyBorder="1" applyAlignment="1">
      <alignment horizontal="center"/>
    </xf>
    <xf numFmtId="3" fontId="22" fillId="0" borderId="4" xfId="0" applyNumberFormat="1" applyFont="1" applyFill="1" applyBorder="1" applyAlignment="1">
      <alignment horizontal="center"/>
    </xf>
    <xf numFmtId="4" fontId="17" fillId="0" borderId="13" xfId="3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/>
    </xf>
    <xf numFmtId="3" fontId="17" fillId="0" borderId="13" xfId="0" applyNumberFormat="1" applyFont="1" applyFill="1" applyBorder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3" fontId="22" fillId="0" borderId="1" xfId="3" applyNumberFormat="1" applyFont="1" applyFill="1" applyBorder="1" applyAlignment="1">
      <alignment horizontal="center" vertical="center"/>
    </xf>
    <xf numFmtId="3" fontId="17" fillId="0" borderId="13" xfId="3" applyNumberFormat="1" applyFont="1" applyFill="1" applyBorder="1" applyAlignment="1">
      <alignment horizontal="center" vertical="center"/>
    </xf>
    <xf numFmtId="3" fontId="17" fillId="0" borderId="1" xfId="3" applyNumberFormat="1" applyFont="1" applyFill="1" applyBorder="1" applyAlignment="1">
      <alignment horizontal="center" vertical="center" wrapText="1"/>
    </xf>
    <xf numFmtId="49" fontId="22" fillId="0" borderId="1" xfId="3" applyNumberFormat="1" applyFont="1" applyFill="1" applyBorder="1" applyAlignment="1">
      <alignment horizontal="center" vertical="center"/>
    </xf>
    <xf numFmtId="3" fontId="22" fillId="0" borderId="1" xfId="0" applyNumberFormat="1" applyFont="1" applyFill="1" applyBorder="1" applyAlignment="1">
      <alignment horizontal="center" vertical="center" wrapText="1"/>
    </xf>
    <xf numFmtId="3" fontId="18" fillId="0" borderId="14" xfId="0" applyNumberFormat="1" applyFont="1" applyFill="1" applyBorder="1" applyAlignment="1">
      <alignment horizontal="left" vertical="center" wrapText="1"/>
    </xf>
    <xf numFmtId="0" fontId="17" fillId="0" borderId="1" xfId="3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/>
    </xf>
    <xf numFmtId="3" fontId="22" fillId="0" borderId="2" xfId="3" applyNumberFormat="1" applyFont="1" applyFill="1" applyBorder="1" applyAlignment="1">
      <alignment horizontal="center" vertical="center"/>
    </xf>
    <xf numFmtId="3" fontId="17" fillId="0" borderId="17" xfId="0" applyNumberFormat="1" applyFont="1" applyFill="1" applyBorder="1" applyAlignment="1">
      <alignment horizontal="center"/>
    </xf>
    <xf numFmtId="3" fontId="22" fillId="0" borderId="2" xfId="0" applyNumberFormat="1" applyFont="1" applyFill="1" applyBorder="1" applyAlignment="1">
      <alignment horizontal="center"/>
    </xf>
    <xf numFmtId="3" fontId="17" fillId="0" borderId="1" xfId="3" applyNumberFormat="1" applyFont="1" applyFill="1" applyBorder="1" applyAlignment="1">
      <alignment horizontal="center" vertical="center"/>
    </xf>
    <xf numFmtId="164" fontId="17" fillId="0" borderId="1" xfId="3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left" vertical="center" wrapText="1"/>
    </xf>
    <xf numFmtId="3" fontId="17" fillId="0" borderId="2" xfId="3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left" vertical="center"/>
    </xf>
    <xf numFmtId="0" fontId="17" fillId="0" borderId="1" xfId="0" quotePrefix="1" applyFont="1" applyFill="1" applyBorder="1" applyAlignment="1">
      <alignment horizontal="center" vertical="center"/>
    </xf>
    <xf numFmtId="4" fontId="17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center"/>
    </xf>
    <xf numFmtId="4" fontId="22" fillId="0" borderId="0" xfId="0" applyNumberFormat="1" applyFont="1" applyFill="1" applyBorder="1" applyAlignment="1">
      <alignment horizontal="center"/>
    </xf>
    <xf numFmtId="4" fontId="17" fillId="0" borderId="0" xfId="3" applyNumberFormat="1" applyFont="1" applyFill="1" applyBorder="1" applyAlignment="1">
      <alignment horizontal="center" vertical="center"/>
    </xf>
    <xf numFmtId="4" fontId="28" fillId="0" borderId="0" xfId="0" applyNumberFormat="1" applyFont="1" applyFill="1" applyAlignment="1">
      <alignment horizontal="center"/>
    </xf>
    <xf numFmtId="3" fontId="28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3" fontId="23" fillId="4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3" fontId="29" fillId="0" borderId="1" xfId="0" applyNumberFormat="1" applyFont="1" applyBorder="1" applyAlignment="1">
      <alignment horizontal="center" vertical="center"/>
    </xf>
    <xf numFmtId="0" fontId="29" fillId="4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 wrapText="1"/>
    </xf>
    <xf numFmtId="0" fontId="22" fillId="0" borderId="0" xfId="0" applyFont="1" applyAlignment="1">
      <alignment horizontal="justify" vertical="center"/>
    </xf>
    <xf numFmtId="0" fontId="21" fillId="0" borderId="0" xfId="0" applyFont="1"/>
    <xf numFmtId="0" fontId="22" fillId="0" borderId="0" xfId="0" applyFont="1" applyAlignment="1">
      <alignment horizontal="left" vertical="center"/>
    </xf>
    <xf numFmtId="3" fontId="22" fillId="0" borderId="0" xfId="0" applyNumberFormat="1" applyFont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3" fontId="17" fillId="0" borderId="0" xfId="0" applyNumberFormat="1" applyFont="1" applyFill="1" applyAlignment="1">
      <alignment horizontal="center" vertical="center"/>
    </xf>
    <xf numFmtId="3" fontId="22" fillId="0" borderId="0" xfId="0" applyNumberFormat="1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3" fontId="14" fillId="0" borderId="21" xfId="3" applyNumberFormat="1" applyFont="1" applyFill="1" applyBorder="1" applyAlignment="1">
      <alignment horizontal="center" vertical="center" wrapText="1"/>
    </xf>
    <xf numFmtId="3" fontId="14" fillId="0" borderId="23" xfId="3" applyNumberFormat="1" applyFont="1" applyFill="1" applyBorder="1" applyAlignment="1">
      <alignment horizontal="center" vertical="center" wrapText="1"/>
    </xf>
    <xf numFmtId="3" fontId="14" fillId="0" borderId="24" xfId="0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 vertical="center"/>
    </xf>
    <xf numFmtId="3" fontId="23" fillId="0" borderId="29" xfId="0" applyNumberFormat="1" applyFont="1" applyFill="1" applyBorder="1" applyAlignment="1">
      <alignment horizontal="center" vertical="center"/>
    </xf>
    <xf numFmtId="3" fontId="23" fillId="0" borderId="28" xfId="0" applyNumberFormat="1" applyFont="1" applyFill="1" applyBorder="1" applyAlignment="1">
      <alignment horizontal="center" vertical="center"/>
    </xf>
    <xf numFmtId="3" fontId="17" fillId="0" borderId="13" xfId="0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center" vertical="center"/>
    </xf>
    <xf numFmtId="3" fontId="23" fillId="0" borderId="20" xfId="0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 vertical="center"/>
    </xf>
    <xf numFmtId="3" fontId="26" fillId="0" borderId="13" xfId="0" applyNumberFormat="1" applyFont="1" applyFill="1" applyBorder="1" applyAlignment="1">
      <alignment horizontal="center" vertical="center"/>
    </xf>
    <xf numFmtId="3" fontId="26" fillId="0" borderId="14" xfId="0" applyNumberFormat="1" applyFont="1" applyFill="1" applyBorder="1" applyAlignment="1">
      <alignment horizontal="center" vertical="center"/>
    </xf>
    <xf numFmtId="3" fontId="22" fillId="0" borderId="20" xfId="0" applyNumberFormat="1" applyFont="1" applyFill="1" applyBorder="1" applyAlignment="1">
      <alignment horizontal="center" vertical="center"/>
    </xf>
    <xf numFmtId="3" fontId="17" fillId="0" borderId="20" xfId="3" applyNumberFormat="1" applyFont="1" applyFill="1" applyBorder="1" applyAlignment="1">
      <alignment horizontal="center" vertical="center"/>
    </xf>
    <xf numFmtId="3" fontId="17" fillId="0" borderId="4" xfId="3" applyNumberFormat="1" applyFont="1" applyFill="1" applyBorder="1" applyAlignment="1">
      <alignment horizontal="left" vertical="center" wrapText="1"/>
    </xf>
    <xf numFmtId="0" fontId="17" fillId="0" borderId="4" xfId="3" applyFont="1" applyFill="1" applyBorder="1" applyAlignment="1">
      <alignment horizontal="left" vertical="center" wrapText="1"/>
    </xf>
    <xf numFmtId="3" fontId="17" fillId="0" borderId="4" xfId="0" applyNumberFormat="1" applyFont="1" applyFill="1" applyBorder="1" applyAlignment="1">
      <alignment horizontal="left" vertical="center" wrapText="1"/>
    </xf>
    <xf numFmtId="3" fontId="22" fillId="0" borderId="0" xfId="0" applyNumberFormat="1" applyFont="1" applyFill="1" applyAlignment="1">
      <alignment horizontal="left"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3" fontId="28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3" fontId="26" fillId="0" borderId="0" xfId="0" applyNumberFormat="1" applyFont="1" applyFill="1" applyAlignment="1">
      <alignment horizontal="center" vertical="center"/>
    </xf>
    <xf numFmtId="3" fontId="14" fillId="0" borderId="33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4" fillId="0" borderId="35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3" fontId="26" fillId="0" borderId="1" xfId="0" applyNumberFormat="1" applyFont="1" applyFill="1" applyBorder="1" applyAlignment="1">
      <alignment horizontal="center" vertical="center"/>
    </xf>
    <xf numFmtId="3" fontId="26" fillId="0" borderId="36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3" fontId="26" fillId="0" borderId="38" xfId="0" applyNumberFormat="1" applyFont="1" applyFill="1" applyBorder="1" applyAlignment="1">
      <alignment horizontal="center" vertical="center"/>
    </xf>
    <xf numFmtId="3" fontId="26" fillId="0" borderId="20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/>
    </xf>
    <xf numFmtId="3" fontId="17" fillId="0" borderId="38" xfId="0" applyNumberFormat="1" applyFont="1" applyFill="1" applyBorder="1" applyAlignment="1">
      <alignment horizontal="center" vertical="center"/>
    </xf>
    <xf numFmtId="3" fontId="26" fillId="0" borderId="27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 wrapText="1"/>
    </xf>
    <xf numFmtId="3" fontId="17" fillId="0" borderId="2" xfId="0" applyNumberFormat="1" applyFont="1" applyFill="1" applyBorder="1" applyAlignment="1">
      <alignment horizontal="center" vertical="center"/>
    </xf>
    <xf numFmtId="3" fontId="26" fillId="0" borderId="4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left" vertical="center"/>
    </xf>
    <xf numFmtId="4" fontId="17" fillId="0" borderId="0" xfId="0" applyNumberFormat="1" applyFont="1" applyFill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17" fillId="0" borderId="0" xfId="0" applyFont="1" applyFill="1"/>
    <xf numFmtId="4" fontId="17" fillId="0" borderId="0" xfId="0" applyNumberFormat="1" applyFont="1" applyFill="1" applyAlignment="1">
      <alignment horizontal="center"/>
    </xf>
    <xf numFmtId="3" fontId="17" fillId="0" borderId="0" xfId="0" applyNumberFormat="1" applyFont="1" applyFill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3" fontId="14" fillId="0" borderId="25" xfId="3" applyNumberFormat="1" applyFont="1" applyFill="1" applyBorder="1" applyAlignment="1">
      <alignment horizontal="center" vertical="center" wrapText="1"/>
    </xf>
    <xf numFmtId="4" fontId="14" fillId="0" borderId="21" xfId="3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/>
    </xf>
    <xf numFmtId="3" fontId="26" fillId="0" borderId="27" xfId="0" applyNumberFormat="1" applyFont="1" applyFill="1" applyBorder="1" applyAlignment="1">
      <alignment horizontal="center"/>
    </xf>
    <xf numFmtId="3" fontId="26" fillId="0" borderId="28" xfId="0" applyNumberFormat="1" applyFont="1" applyFill="1" applyBorder="1" applyAlignment="1">
      <alignment horizontal="center"/>
    </xf>
    <xf numFmtId="3" fontId="26" fillId="0" borderId="29" xfId="0" applyNumberFormat="1" applyFont="1" applyFill="1" applyBorder="1" applyAlignment="1">
      <alignment horizontal="center"/>
    </xf>
    <xf numFmtId="3" fontId="17" fillId="0" borderId="4" xfId="0" applyNumberFormat="1" applyFont="1" applyFill="1" applyBorder="1" applyAlignment="1">
      <alignment horizontal="center"/>
    </xf>
    <xf numFmtId="3" fontId="26" fillId="0" borderId="14" xfId="0" applyNumberFormat="1" applyFont="1" applyFill="1" applyBorder="1" applyAlignment="1">
      <alignment horizontal="center"/>
    </xf>
    <xf numFmtId="3" fontId="26" fillId="0" borderId="20" xfId="0" applyNumberFormat="1" applyFont="1" applyFill="1" applyBorder="1"/>
    <xf numFmtId="3" fontId="17" fillId="0" borderId="14" xfId="0" applyNumberFormat="1" applyFont="1" applyFill="1" applyBorder="1"/>
    <xf numFmtId="4" fontId="17" fillId="0" borderId="13" xfId="0" applyNumberFormat="1" applyFont="1" applyFill="1" applyBorder="1" applyAlignment="1">
      <alignment horizontal="center"/>
    </xf>
    <xf numFmtId="3" fontId="17" fillId="0" borderId="14" xfId="0" applyNumberFormat="1" applyFont="1" applyFill="1" applyBorder="1" applyAlignment="1">
      <alignment horizontal="center"/>
    </xf>
    <xf numFmtId="3" fontId="17" fillId="0" borderId="13" xfId="0" applyNumberFormat="1" applyFont="1" applyBorder="1" applyAlignment="1">
      <alignment horizontal="center" vertical="center"/>
    </xf>
    <xf numFmtId="4" fontId="17" fillId="0" borderId="0" xfId="0" applyNumberFormat="1" applyFont="1" applyFill="1"/>
    <xf numFmtId="3" fontId="14" fillId="0" borderId="22" xfId="3" applyNumberFormat="1" applyFont="1" applyFill="1" applyBorder="1" applyAlignment="1">
      <alignment horizontal="center" vertical="center" wrapText="1"/>
    </xf>
    <xf numFmtId="3" fontId="16" fillId="0" borderId="25" xfId="0" applyNumberFormat="1" applyFont="1" applyFill="1" applyBorder="1" applyAlignment="1">
      <alignment horizontal="center" vertical="center" wrapText="1"/>
    </xf>
    <xf numFmtId="3" fontId="26" fillId="0" borderId="6" xfId="0" applyNumberFormat="1" applyFont="1" applyFill="1" applyBorder="1" applyAlignment="1">
      <alignment horizontal="center" vertical="center"/>
    </xf>
    <xf numFmtId="3" fontId="23" fillId="0" borderId="16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 vertical="center"/>
    </xf>
    <xf numFmtId="3" fontId="17" fillId="0" borderId="4" xfId="0" applyNumberFormat="1" applyFont="1" applyFill="1" applyBorder="1" applyAlignment="1">
      <alignment horizontal="center" vertical="center"/>
    </xf>
    <xf numFmtId="4" fontId="23" fillId="0" borderId="13" xfId="0" applyNumberFormat="1" applyFont="1" applyFill="1" applyBorder="1" applyAlignment="1">
      <alignment horizontal="center" vertical="center"/>
    </xf>
    <xf numFmtId="0" fontId="17" fillId="0" borderId="1" xfId="3" applyFont="1" applyFill="1" applyBorder="1" applyAlignment="1">
      <alignment horizontal="left" vertical="center" wrapText="1"/>
    </xf>
    <xf numFmtId="0" fontId="26" fillId="0" borderId="1" xfId="3" applyFont="1" applyFill="1" applyBorder="1" applyAlignment="1">
      <alignment horizontal="left" vertical="center" wrapText="1"/>
    </xf>
    <xf numFmtId="3" fontId="17" fillId="0" borderId="17" xfId="0" applyNumberFormat="1" applyFont="1" applyFill="1" applyBorder="1" applyAlignment="1">
      <alignment horizontal="center" vertical="center"/>
    </xf>
    <xf numFmtId="3" fontId="26" fillId="0" borderId="2" xfId="0" applyNumberFormat="1" applyFont="1" applyFill="1" applyBorder="1" applyAlignment="1">
      <alignment horizontal="center" vertical="center"/>
    </xf>
    <xf numFmtId="3" fontId="22" fillId="0" borderId="19" xfId="0" applyNumberFormat="1" applyFont="1" applyFill="1" applyBorder="1" applyAlignment="1">
      <alignment horizontal="center" vertical="center"/>
    </xf>
    <xf numFmtId="3" fontId="17" fillId="0" borderId="1" xfId="3" applyNumberFormat="1" applyFont="1" applyFill="1" applyBorder="1" applyAlignment="1">
      <alignment horizontal="left" vertical="center" wrapText="1"/>
    </xf>
    <xf numFmtId="0" fontId="17" fillId="0" borderId="1" xfId="6" applyFont="1" applyFill="1" applyBorder="1" applyAlignment="1">
      <alignment horizontal="left" vertical="center" wrapText="1"/>
    </xf>
    <xf numFmtId="3" fontId="17" fillId="0" borderId="41" xfId="3" applyNumberFormat="1" applyFont="1" applyFill="1" applyBorder="1" applyAlignment="1">
      <alignment horizontal="left" vertical="center" wrapText="1"/>
    </xf>
    <xf numFmtId="0" fontId="24" fillId="0" borderId="0" xfId="7" applyFont="1" applyFill="1"/>
    <xf numFmtId="0" fontId="24" fillId="0" borderId="0" xfId="7" applyFont="1" applyFill="1" applyAlignment="1">
      <alignment vertical="center"/>
    </xf>
    <xf numFmtId="0" fontId="6" fillId="0" borderId="1" xfId="7" applyFont="1" applyFill="1" applyBorder="1" applyAlignment="1">
      <alignment horizontal="center" vertical="center" wrapText="1"/>
    </xf>
    <xf numFmtId="3" fontId="6" fillId="0" borderId="1" xfId="7" applyNumberFormat="1" applyFont="1" applyFill="1" applyBorder="1" applyAlignment="1">
      <alignment horizontal="center" vertical="center"/>
    </xf>
    <xf numFmtId="0" fontId="39" fillId="0" borderId="0" xfId="7" applyFont="1" applyFill="1"/>
    <xf numFmtId="0" fontId="43" fillId="0" borderId="0" xfId="7" applyFont="1" applyFill="1"/>
    <xf numFmtId="0" fontId="44" fillId="0" borderId="1" xfId="8" applyFont="1" applyFill="1" applyBorder="1" applyAlignment="1">
      <alignment horizontal="center" vertical="center"/>
    </xf>
    <xf numFmtId="49" fontId="45" fillId="0" borderId="1" xfId="9" applyNumberFormat="1" applyFont="1" applyFill="1" applyBorder="1" applyAlignment="1">
      <alignment horizontal="center" vertical="center" wrapText="1"/>
    </xf>
    <xf numFmtId="0" fontId="46" fillId="0" borderId="1" xfId="9" applyFont="1" applyFill="1" applyBorder="1" applyAlignment="1">
      <alignment horizontal="left" vertical="center" wrapText="1"/>
    </xf>
    <xf numFmtId="0" fontId="45" fillId="0" borderId="1" xfId="9" applyFont="1" applyFill="1" applyBorder="1" applyAlignment="1">
      <alignment horizontal="center" vertical="center" wrapText="1"/>
    </xf>
    <xf numFmtId="49" fontId="45" fillId="0" borderId="1" xfId="9" applyNumberFormat="1" applyFont="1" applyFill="1" applyBorder="1" applyAlignment="1">
      <alignment horizontal="center" vertical="center"/>
    </xf>
    <xf numFmtId="0" fontId="45" fillId="0" borderId="1" xfId="9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center" vertical="center" wrapText="1"/>
    </xf>
    <xf numFmtId="0" fontId="44" fillId="0" borderId="1" xfId="9" applyFont="1" applyFill="1" applyBorder="1" applyAlignment="1">
      <alignment horizontal="left" vertical="center" wrapText="1"/>
    </xf>
    <xf numFmtId="49" fontId="45" fillId="0" borderId="1" xfId="8" applyNumberFormat="1" applyFont="1" applyFill="1" applyBorder="1" applyAlignment="1">
      <alignment horizontal="center" vertical="center" wrapText="1"/>
    </xf>
    <xf numFmtId="0" fontId="46" fillId="0" borderId="1" xfId="8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center" vertical="center"/>
    </xf>
    <xf numFmtId="49" fontId="45" fillId="0" borderId="1" xfId="8" applyNumberFormat="1" applyFont="1" applyFill="1" applyBorder="1" applyAlignment="1">
      <alignment horizontal="center" vertical="center"/>
    </xf>
    <xf numFmtId="0" fontId="45" fillId="0" borderId="1" xfId="8" applyFont="1" applyFill="1" applyBorder="1" applyAlignment="1">
      <alignment horizontal="left" vertical="center" wrapText="1"/>
    </xf>
    <xf numFmtId="49" fontId="45" fillId="0" borderId="1" xfId="9" applyNumberFormat="1" applyFont="1" applyFill="1" applyBorder="1" applyAlignment="1">
      <alignment horizontal="left" vertical="center" wrapText="1"/>
    </xf>
    <xf numFmtId="3" fontId="44" fillId="0" borderId="1" xfId="9" applyNumberFormat="1" applyFont="1" applyFill="1" applyBorder="1" applyAlignment="1">
      <alignment horizontal="center" vertical="center"/>
    </xf>
    <xf numFmtId="3" fontId="46" fillId="0" borderId="1" xfId="8" applyNumberFormat="1" applyFont="1" applyFill="1" applyBorder="1" applyAlignment="1">
      <alignment horizontal="left" vertical="center" wrapText="1"/>
    </xf>
    <xf numFmtId="164" fontId="44" fillId="0" borderId="1" xfId="9" applyNumberFormat="1" applyFont="1" applyFill="1" applyBorder="1" applyAlignment="1">
      <alignment horizontal="center" vertical="center"/>
    </xf>
    <xf numFmtId="3" fontId="44" fillId="0" borderId="1" xfId="8" applyNumberFormat="1" applyFont="1" applyFill="1" applyBorder="1" applyAlignment="1">
      <alignment horizontal="left" vertical="center" wrapText="1"/>
    </xf>
    <xf numFmtId="3" fontId="44" fillId="0" borderId="2" xfId="9" applyNumberFormat="1" applyFont="1" applyFill="1" applyBorder="1" applyAlignment="1">
      <alignment horizontal="center" vertical="center"/>
    </xf>
    <xf numFmtId="3" fontId="46" fillId="0" borderId="2" xfId="8" applyNumberFormat="1" applyFont="1" applyFill="1" applyBorder="1" applyAlignment="1">
      <alignment horizontal="left" vertical="center" wrapText="1"/>
    </xf>
    <xf numFmtId="0" fontId="44" fillId="0" borderId="1" xfId="8" applyFont="1" applyFill="1" applyBorder="1" applyAlignment="1">
      <alignment horizontal="left" vertical="center"/>
    </xf>
    <xf numFmtId="0" fontId="14" fillId="2" borderId="1" xfId="10" quotePrefix="1" applyFont="1" applyFill="1" applyBorder="1" applyAlignment="1">
      <alignment horizontal="center" vertical="center"/>
    </xf>
    <xf numFmtId="0" fontId="14" fillId="2" borderId="1" xfId="10" applyFont="1" applyFill="1" applyBorder="1" applyAlignment="1">
      <alignment horizontal="left" vertical="center"/>
    </xf>
    <xf numFmtId="0" fontId="25" fillId="0" borderId="1" xfId="7" applyFont="1" applyFill="1" applyBorder="1" applyAlignment="1">
      <alignment horizontal="center"/>
    </xf>
    <xf numFmtId="0" fontId="17" fillId="0" borderId="0" xfId="8" applyFont="1" applyAlignment="1">
      <alignment horizontal="center" vertical="center"/>
    </xf>
    <xf numFmtId="0" fontId="48" fillId="0" borderId="0" xfId="11" applyFont="1" applyAlignment="1">
      <alignment vertical="center" wrapText="1"/>
    </xf>
    <xf numFmtId="0" fontId="22" fillId="0" borderId="0" xfId="8" applyFont="1"/>
    <xf numFmtId="0" fontId="17" fillId="0" borderId="0" xfId="8" applyFont="1" applyAlignment="1">
      <alignment horizontal="left" vertical="center"/>
    </xf>
    <xf numFmtId="0" fontId="23" fillId="0" borderId="0" xfId="8" applyFont="1"/>
    <xf numFmtId="0" fontId="14" fillId="0" borderId="2" xfId="8" applyFont="1" applyBorder="1" applyAlignment="1">
      <alignment horizontal="center" vertical="center"/>
    </xf>
    <xf numFmtId="0" fontId="14" fillId="0" borderId="1" xfId="8" applyFont="1" applyBorder="1" applyAlignment="1">
      <alignment horizontal="center" vertical="center" wrapText="1"/>
    </xf>
    <xf numFmtId="0" fontId="25" fillId="0" borderId="1" xfId="8" applyFont="1" applyBorder="1" applyAlignment="1">
      <alignment horizontal="center" vertical="center" wrapText="1"/>
    </xf>
    <xf numFmtId="3" fontId="25" fillId="0" borderId="1" xfId="11" applyNumberFormat="1" applyFont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left" vertical="center" wrapText="1"/>
    </xf>
    <xf numFmtId="3" fontId="25" fillId="0" borderId="1" xfId="8" applyNumberFormat="1" applyFont="1" applyBorder="1" applyAlignment="1">
      <alignment horizontal="center" vertical="center"/>
    </xf>
    <xf numFmtId="0" fontId="14" fillId="2" borderId="1" xfId="9" applyFont="1" applyFill="1" applyBorder="1" applyAlignment="1">
      <alignment horizontal="center" vertical="center" wrapText="1"/>
    </xf>
    <xf numFmtId="49" fontId="14" fillId="0" borderId="1" xfId="9" applyNumberFormat="1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left" vertical="center" wrapText="1"/>
    </xf>
    <xf numFmtId="49" fontId="14" fillId="2" borderId="1" xfId="9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center" vertical="center" wrapText="1"/>
    </xf>
    <xf numFmtId="3" fontId="14" fillId="2" borderId="1" xfId="9" applyNumberFormat="1" applyFont="1" applyFill="1" applyBorder="1" applyAlignment="1">
      <alignment horizontal="left" vertical="center" wrapText="1"/>
    </xf>
    <xf numFmtId="0" fontId="14" fillId="0" borderId="1" xfId="9" applyFont="1" applyFill="1" applyBorder="1" applyAlignment="1">
      <alignment horizontal="center" vertical="center" wrapText="1"/>
    </xf>
    <xf numFmtId="49" fontId="14" fillId="2" borderId="1" xfId="8" applyNumberFormat="1" applyFont="1" applyFill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left" vertical="center" wrapText="1"/>
    </xf>
    <xf numFmtId="0" fontId="16" fillId="2" borderId="1" xfId="9" applyFont="1" applyFill="1" applyBorder="1" applyAlignment="1">
      <alignment horizontal="left" vertical="center" wrapText="1"/>
    </xf>
    <xf numFmtId="49" fontId="14" fillId="2" borderId="1" xfId="8" applyNumberFormat="1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left" vertical="center" wrapText="1"/>
    </xf>
    <xf numFmtId="3" fontId="14" fillId="2" borderId="1" xfId="9" applyNumberFormat="1" applyFont="1" applyFill="1" applyBorder="1" applyAlignment="1">
      <alignment horizontal="center" vertical="center"/>
    </xf>
    <xf numFmtId="3" fontId="49" fillId="2" borderId="1" xfId="8" applyNumberFormat="1" applyFont="1" applyFill="1" applyBorder="1" applyAlignment="1">
      <alignment horizontal="left" vertical="center" wrapText="1"/>
    </xf>
    <xf numFmtId="164" fontId="14" fillId="2" borderId="1" xfId="9" applyNumberFormat="1" applyFont="1" applyFill="1" applyBorder="1" applyAlignment="1">
      <alignment horizontal="center" vertical="center"/>
    </xf>
    <xf numFmtId="3" fontId="14" fillId="2" borderId="1" xfId="8" applyNumberFormat="1" applyFont="1" applyFill="1" applyBorder="1" applyAlignment="1">
      <alignment horizontal="left" vertical="center" wrapText="1"/>
    </xf>
    <xf numFmtId="3" fontId="14" fillId="2" borderId="2" xfId="9" applyNumberFormat="1" applyFont="1" applyFill="1" applyBorder="1" applyAlignment="1">
      <alignment horizontal="center" vertical="center"/>
    </xf>
    <xf numFmtId="3" fontId="49" fillId="2" borderId="2" xfId="8" applyNumberFormat="1" applyFont="1" applyFill="1" applyBorder="1" applyAlignment="1">
      <alignment horizontal="left" vertical="center" wrapText="1"/>
    </xf>
    <xf numFmtId="0" fontId="14" fillId="2" borderId="1" xfId="8" applyFont="1" applyFill="1" applyBorder="1" applyAlignment="1">
      <alignment horizontal="left" vertical="center"/>
    </xf>
    <xf numFmtId="0" fontId="14" fillId="0" borderId="1" xfId="8" quotePrefix="1" applyFont="1" applyFill="1" applyBorder="1" applyAlignment="1">
      <alignment horizontal="center" vertical="center"/>
    </xf>
    <xf numFmtId="0" fontId="11" fillId="0" borderId="0" xfId="13" applyFont="1" applyFill="1"/>
    <xf numFmtId="0" fontId="11" fillId="0" borderId="0" xfId="13" applyFont="1" applyFill="1" applyAlignment="1">
      <alignment horizontal="justify" vertical="center"/>
    </xf>
    <xf numFmtId="0" fontId="11" fillId="0" borderId="37" xfId="13" applyFont="1" applyFill="1" applyBorder="1" applyAlignment="1">
      <alignment horizontal="center" wrapText="1"/>
    </xf>
    <xf numFmtId="0" fontId="11" fillId="0" borderId="0" xfId="13" applyFont="1" applyFill="1" applyBorder="1" applyAlignment="1">
      <alignment horizontal="right" wrapText="1"/>
    </xf>
    <xf numFmtId="0" fontId="11" fillId="0" borderId="1" xfId="13" applyFont="1" applyFill="1" applyBorder="1" applyAlignment="1">
      <alignment horizontal="center" vertical="center" wrapText="1"/>
    </xf>
    <xf numFmtId="0" fontId="5" fillId="0" borderId="1" xfId="13" applyFont="1" applyFill="1" applyBorder="1" applyAlignment="1">
      <alignment horizontal="center" vertical="center" wrapText="1"/>
    </xf>
    <xf numFmtId="0" fontId="38" fillId="0" borderId="1" xfId="13" applyFont="1" applyFill="1" applyBorder="1" applyAlignment="1">
      <alignment horizontal="center" vertical="center" wrapText="1"/>
    </xf>
    <xf numFmtId="0" fontId="25" fillId="0" borderId="0" xfId="13" applyFont="1" applyFill="1"/>
    <xf numFmtId="3" fontId="5" fillId="0" borderId="6" xfId="13" applyNumberFormat="1" applyFont="1" applyFill="1" applyBorder="1" applyAlignment="1">
      <alignment horizontal="center" vertical="center" wrapText="1"/>
    </xf>
    <xf numFmtId="0" fontId="50" fillId="0" borderId="1" xfId="13" applyFont="1" applyFill="1" applyBorder="1" applyAlignment="1">
      <alignment horizontal="center" vertical="center"/>
    </xf>
    <xf numFmtId="4" fontId="50" fillId="0" borderId="1" xfId="14" applyNumberFormat="1" applyFont="1" applyFill="1" applyBorder="1" applyAlignment="1">
      <alignment vertical="center" wrapText="1"/>
    </xf>
    <xf numFmtId="3" fontId="5" fillId="0" borderId="1" xfId="13" applyNumberFormat="1" applyFont="1" applyFill="1" applyBorder="1" applyAlignment="1">
      <alignment horizontal="center" vertical="center" wrapText="1"/>
    </xf>
    <xf numFmtId="4" fontId="11" fillId="0" borderId="0" xfId="13" applyNumberFormat="1" applyFont="1" applyFill="1"/>
    <xf numFmtId="3" fontId="11" fillId="0" borderId="0" xfId="13" applyNumberFormat="1" applyFont="1" applyFill="1"/>
    <xf numFmtId="49" fontId="11" fillId="2" borderId="1" xfId="9" applyNumberFormat="1" applyFont="1" applyFill="1" applyBorder="1" applyAlignment="1">
      <alignment horizontal="center" vertical="center" wrapText="1"/>
    </xf>
    <xf numFmtId="0" fontId="50" fillId="2" borderId="1" xfId="9" applyFont="1" applyFill="1" applyBorder="1" applyAlignment="1">
      <alignment horizontal="left" vertical="center" wrapText="1"/>
    </xf>
    <xf numFmtId="4" fontId="50" fillId="0" borderId="1" xfId="14" applyNumberFormat="1" applyFont="1" applyFill="1" applyBorder="1" applyAlignment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0" fontId="50" fillId="0" borderId="0" xfId="13" applyFont="1" applyFill="1" applyBorder="1" applyAlignment="1">
      <alignment horizontal="center" vertical="center"/>
    </xf>
    <xf numFmtId="0" fontId="51" fillId="2" borderId="0" xfId="15" applyFill="1" applyAlignment="1">
      <alignment horizontal="center" vertical="center"/>
    </xf>
    <xf numFmtId="0" fontId="51" fillId="2" borderId="0" xfId="15" applyFill="1" applyAlignment="1">
      <alignment horizontal="center"/>
    </xf>
    <xf numFmtId="0" fontId="51" fillId="2" borderId="0" xfId="15" applyFill="1"/>
    <xf numFmtId="0" fontId="53" fillId="2" borderId="1" xfId="15" applyFont="1" applyFill="1" applyBorder="1" applyAlignment="1">
      <alignment horizontal="center" vertical="center"/>
    </xf>
    <xf numFmtId="0" fontId="53" fillId="2" borderId="1" xfId="15" applyFont="1" applyFill="1" applyBorder="1" applyAlignment="1">
      <alignment horizontal="center"/>
    </xf>
    <xf numFmtId="0" fontId="53" fillId="2" borderId="1" xfId="15" applyFont="1" applyFill="1" applyBorder="1" applyAlignment="1">
      <alignment horizontal="center" vertical="center" wrapText="1"/>
    </xf>
    <xf numFmtId="0" fontId="53" fillId="2" borderId="0" xfId="15" applyFont="1" applyFill="1"/>
    <xf numFmtId="3" fontId="53" fillId="2" borderId="1" xfId="15" applyNumberFormat="1" applyFont="1" applyFill="1" applyBorder="1" applyAlignment="1">
      <alignment horizontal="center" vertical="center"/>
    </xf>
    <xf numFmtId="0" fontId="51" fillId="2" borderId="1" xfId="15" applyFill="1" applyBorder="1" applyAlignment="1">
      <alignment horizontal="center" vertical="center"/>
    </xf>
    <xf numFmtId="49" fontId="51" fillId="2" borderId="1" xfId="15" applyNumberFormat="1" applyFill="1" applyBorder="1" applyAlignment="1">
      <alignment horizontal="center"/>
    </xf>
    <xf numFmtId="0" fontId="22" fillId="2" borderId="1" xfId="15" applyFont="1" applyFill="1" applyBorder="1" applyAlignment="1">
      <alignment vertical="center" wrapText="1"/>
    </xf>
    <xf numFmtId="3" fontId="51" fillId="2" borderId="1" xfId="15" applyNumberFormat="1" applyFill="1" applyBorder="1" applyAlignment="1">
      <alignment horizontal="center" vertical="center"/>
    </xf>
    <xf numFmtId="3" fontId="51" fillId="2" borderId="0" xfId="15" applyNumberFormat="1" applyFill="1"/>
    <xf numFmtId="0" fontId="11" fillId="0" borderId="0" xfId="16" applyFont="1" applyFill="1" applyAlignment="1">
      <alignment vertical="center" wrapText="1"/>
    </xf>
    <xf numFmtId="0" fontId="50" fillId="0" borderId="0" xfId="13" applyFont="1" applyFill="1" applyAlignment="1">
      <alignment horizontal="center" vertical="center"/>
    </xf>
    <xf numFmtId="0" fontId="50" fillId="0" borderId="0" xfId="13" applyFont="1" applyFill="1" applyAlignment="1">
      <alignment horizontal="left" vertical="center"/>
    </xf>
    <xf numFmtId="0" fontId="9" fillId="0" borderId="0" xfId="13" applyFont="1" applyFill="1"/>
    <xf numFmtId="0" fontId="11" fillId="0" borderId="1" xfId="16" applyFont="1" applyFill="1" applyBorder="1" applyAlignment="1">
      <alignment horizontal="center" vertical="center" wrapText="1"/>
    </xf>
    <xf numFmtId="0" fontId="50" fillId="0" borderId="1" xfId="13" applyFont="1" applyFill="1" applyBorder="1" applyAlignment="1">
      <alignment horizontal="center" vertical="center" wrapText="1"/>
    </xf>
    <xf numFmtId="0" fontId="11" fillId="0" borderId="39" xfId="16" applyFont="1" applyFill="1" applyBorder="1" applyAlignment="1">
      <alignment horizontal="center" vertical="center" wrapText="1"/>
    </xf>
    <xf numFmtId="3" fontId="9" fillId="0" borderId="1" xfId="16" applyNumberFormat="1" applyFont="1" applyFill="1" applyBorder="1" applyAlignment="1">
      <alignment horizontal="center" vertical="center" wrapText="1"/>
    </xf>
    <xf numFmtId="3" fontId="54" fillId="0" borderId="1" xfId="8" applyNumberFormat="1" applyFont="1" applyFill="1" applyBorder="1" applyAlignment="1">
      <alignment horizontal="center" vertical="center" wrapText="1"/>
    </xf>
    <xf numFmtId="0" fontId="50" fillId="2" borderId="1" xfId="13" applyFont="1" applyFill="1" applyBorder="1" applyAlignment="1">
      <alignment horizontal="center" vertical="center"/>
    </xf>
    <xf numFmtId="3" fontId="11" fillId="0" borderId="1" xfId="13" applyNumberFormat="1" applyFont="1" applyFill="1" applyBorder="1" applyAlignment="1">
      <alignment horizontal="center" vertical="center"/>
    </xf>
    <xf numFmtId="49" fontId="11" fillId="2" borderId="1" xfId="3" applyNumberFormat="1" applyFont="1" applyFill="1" applyBorder="1" applyAlignment="1">
      <alignment horizontal="center" vertical="center"/>
    </xf>
    <xf numFmtId="0" fontId="11" fillId="2" borderId="1" xfId="3" applyFont="1" applyFill="1" applyBorder="1" applyAlignment="1">
      <alignment horizontal="left" vertical="center" wrapText="1"/>
    </xf>
    <xf numFmtId="49" fontId="50" fillId="2" borderId="1" xfId="3" applyNumberFormat="1" applyFont="1" applyFill="1" applyBorder="1" applyAlignment="1">
      <alignment horizontal="center" vertical="center" wrapText="1"/>
    </xf>
    <xf numFmtId="0" fontId="50" fillId="2" borderId="1" xfId="3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left" vertical="center" wrapText="1"/>
    </xf>
    <xf numFmtId="49" fontId="50" fillId="2" borderId="1" xfId="3" applyNumberFormat="1" applyFont="1" applyFill="1" applyBorder="1" applyAlignment="1">
      <alignment horizontal="center" vertical="center"/>
    </xf>
    <xf numFmtId="0" fontId="50" fillId="2" borderId="1" xfId="6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/>
    </xf>
    <xf numFmtId="0" fontId="11" fillId="2" borderId="1" xfId="5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left" vertical="center" wrapText="1"/>
    </xf>
    <xf numFmtId="3" fontId="50" fillId="2" borderId="1" xfId="9" applyNumberFormat="1" applyFont="1" applyFill="1" applyBorder="1" applyAlignment="1">
      <alignment horizontal="left" vertical="center" wrapText="1"/>
    </xf>
    <xf numFmtId="3" fontId="50" fillId="2" borderId="1" xfId="9" applyNumberFormat="1" applyFont="1" applyFill="1" applyBorder="1" applyAlignment="1">
      <alignment horizontal="center" vertical="center"/>
    </xf>
    <xf numFmtId="3" fontId="3" fillId="2" borderId="1" xfId="13" applyNumberFormat="1" applyFont="1" applyFill="1" applyBorder="1" applyAlignment="1">
      <alignment horizontal="left" vertical="center" wrapText="1"/>
    </xf>
    <xf numFmtId="164" fontId="50" fillId="2" borderId="1" xfId="9" applyNumberFormat="1" applyFont="1" applyFill="1" applyBorder="1" applyAlignment="1">
      <alignment horizontal="center" vertical="center"/>
    </xf>
    <xf numFmtId="3" fontId="50" fillId="2" borderId="1" xfId="13" applyNumberFormat="1" applyFont="1" applyFill="1" applyBorder="1" applyAlignment="1">
      <alignment horizontal="left" vertical="center" wrapText="1"/>
    </xf>
    <xf numFmtId="3" fontId="50" fillId="2" borderId="2" xfId="9" applyNumberFormat="1" applyFont="1" applyFill="1" applyBorder="1" applyAlignment="1">
      <alignment horizontal="center" vertical="center"/>
    </xf>
    <xf numFmtId="3" fontId="3" fillId="2" borderId="2" xfId="13" applyNumberFormat="1" applyFont="1" applyFill="1" applyBorder="1" applyAlignment="1">
      <alignment horizontal="left" vertical="center" wrapText="1"/>
    </xf>
    <xf numFmtId="0" fontId="50" fillId="2" borderId="1" xfId="13" applyFont="1" applyFill="1" applyBorder="1" applyAlignment="1">
      <alignment horizontal="left" vertical="center"/>
    </xf>
    <xf numFmtId="0" fontId="50" fillId="2" borderId="1" xfId="13" quotePrefix="1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/>
    </xf>
    <xf numFmtId="0" fontId="25" fillId="0" borderId="0" xfId="19" applyFont="1" applyFill="1"/>
    <xf numFmtId="0" fontId="6" fillId="0" borderId="1" xfId="19" applyFont="1" applyFill="1" applyBorder="1" applyAlignment="1">
      <alignment horizontal="center" vertical="center" wrapText="1"/>
    </xf>
    <xf numFmtId="0" fontId="6" fillId="0" borderId="1" xfId="19" applyFont="1" applyFill="1" applyBorder="1" applyAlignment="1">
      <alignment horizontal="center" vertical="center"/>
    </xf>
    <xf numFmtId="3" fontId="6" fillId="0" borderId="1" xfId="19" applyNumberFormat="1" applyFont="1" applyFill="1" applyBorder="1" applyAlignment="1">
      <alignment horizontal="center" vertical="center"/>
    </xf>
    <xf numFmtId="0" fontId="45" fillId="0" borderId="1" xfId="19" applyFont="1" applyFill="1" applyBorder="1" applyAlignment="1">
      <alignment horizontal="center"/>
    </xf>
    <xf numFmtId="0" fontId="45" fillId="0" borderId="0" xfId="19" applyFont="1" applyFill="1"/>
    <xf numFmtId="3" fontId="42" fillId="0" borderId="1" xfId="19" applyNumberFormat="1" applyFont="1" applyFill="1" applyBorder="1" applyAlignment="1">
      <alignment horizontal="center" vertical="center"/>
    </xf>
    <xf numFmtId="0" fontId="14" fillId="0" borderId="1" xfId="13" applyFont="1" applyFill="1" applyBorder="1" applyAlignment="1">
      <alignment horizontal="center" vertical="center"/>
    </xf>
    <xf numFmtId="3" fontId="38" fillId="0" borderId="1" xfId="19" applyNumberFormat="1" applyFont="1" applyFill="1" applyBorder="1" applyAlignment="1">
      <alignment horizontal="center" vertical="center"/>
    </xf>
    <xf numFmtId="3" fontId="14" fillId="0" borderId="1" xfId="9" applyNumberFormat="1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horizontal="left" vertical="center" wrapText="1"/>
    </xf>
    <xf numFmtId="0" fontId="14" fillId="0" borderId="1" xfId="6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left" vertical="center" wrapText="1"/>
    </xf>
    <xf numFmtId="49" fontId="17" fillId="0" borderId="1" xfId="9" applyNumberFormat="1" applyFont="1" applyFill="1" applyBorder="1" applyAlignment="1">
      <alignment horizontal="center" vertical="center"/>
    </xf>
    <xf numFmtId="0" fontId="17" fillId="0" borderId="1" xfId="9" applyFont="1" applyFill="1" applyBorder="1" applyAlignment="1">
      <alignment horizontal="left" vertical="center" wrapText="1"/>
    </xf>
    <xf numFmtId="3" fontId="17" fillId="0" borderId="1" xfId="9" applyNumberFormat="1" applyFont="1" applyFill="1" applyBorder="1" applyAlignment="1">
      <alignment horizontal="center" vertical="center"/>
    </xf>
    <xf numFmtId="3" fontId="18" fillId="0" borderId="1" xfId="13" applyNumberFormat="1" applyFont="1" applyFill="1" applyBorder="1" applyAlignment="1">
      <alignment horizontal="left" vertical="center" wrapText="1"/>
    </xf>
    <xf numFmtId="164" fontId="17" fillId="0" borderId="1" xfId="9" applyNumberFormat="1" applyFont="1" applyFill="1" applyBorder="1" applyAlignment="1">
      <alignment horizontal="center" vertical="center"/>
    </xf>
    <xf numFmtId="3" fontId="17" fillId="0" borderId="1" xfId="13" applyNumberFormat="1" applyFont="1" applyFill="1" applyBorder="1" applyAlignment="1">
      <alignment horizontal="left" vertical="center" wrapText="1"/>
    </xf>
    <xf numFmtId="0" fontId="25" fillId="0" borderId="1" xfId="19" applyFont="1" applyFill="1" applyBorder="1" applyAlignment="1">
      <alignment horizontal="center"/>
    </xf>
    <xf numFmtId="3" fontId="17" fillId="0" borderId="2" xfId="9" applyNumberFormat="1" applyFont="1" applyFill="1" applyBorder="1" applyAlignment="1">
      <alignment horizontal="center" vertical="center"/>
    </xf>
    <xf numFmtId="3" fontId="18" fillId="0" borderId="2" xfId="13" applyNumberFormat="1" applyFont="1" applyFill="1" applyBorder="1" applyAlignment="1">
      <alignment horizontal="left" vertical="center" wrapText="1"/>
    </xf>
    <xf numFmtId="0" fontId="14" fillId="0" borderId="1" xfId="13" applyFont="1" applyFill="1" applyBorder="1" applyAlignment="1">
      <alignment horizontal="left" vertical="center"/>
    </xf>
    <xf numFmtId="0" fontId="14" fillId="0" borderId="1" xfId="13" quotePrefix="1" applyFont="1" applyFill="1" applyBorder="1" applyAlignment="1">
      <alignment horizontal="center" vertical="center"/>
    </xf>
    <xf numFmtId="0" fontId="11" fillId="0" borderId="0" xfId="8" applyFont="1"/>
    <xf numFmtId="0" fontId="38" fillId="0" borderId="6" xfId="20" applyFont="1" applyFill="1" applyBorder="1" applyAlignment="1">
      <alignment horizontal="center" vertical="center" wrapText="1"/>
    </xf>
    <xf numFmtId="0" fontId="25" fillId="0" borderId="6" xfId="20" applyFont="1" applyFill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3" fontId="6" fillId="0" borderId="1" xfId="19" applyNumberFormat="1" applyFont="1" applyBorder="1" applyAlignment="1">
      <alignment horizontal="center" vertical="center"/>
    </xf>
    <xf numFmtId="3" fontId="42" fillId="0" borderId="1" xfId="19" applyNumberFormat="1" applyFont="1" applyBorder="1" applyAlignment="1">
      <alignment horizontal="center" vertical="center"/>
    </xf>
    <xf numFmtId="3" fontId="11" fillId="0" borderId="0" xfId="8" applyNumberFormat="1" applyFont="1"/>
    <xf numFmtId="3" fontId="14" fillId="0" borderId="1" xfId="22" applyNumberFormat="1" applyFont="1" applyFill="1" applyBorder="1" applyAlignment="1">
      <alignment horizontal="center" vertical="center" wrapText="1"/>
    </xf>
    <xf numFmtId="3" fontId="25" fillId="0" borderId="1" xfId="19" applyNumberFormat="1" applyFont="1" applyFill="1" applyBorder="1" applyAlignment="1">
      <alignment horizontal="center" vertical="center"/>
    </xf>
    <xf numFmtId="3" fontId="25" fillId="0" borderId="1" xfId="19" applyNumberFormat="1" applyFont="1" applyFill="1" applyBorder="1" applyAlignment="1">
      <alignment horizontal="center"/>
    </xf>
    <xf numFmtId="4" fontId="25" fillId="0" borderId="0" xfId="19" applyNumberFormat="1" applyFont="1" applyFill="1"/>
    <xf numFmtId="3" fontId="24" fillId="0" borderId="0" xfId="7" applyNumberFormat="1" applyFont="1" applyFill="1"/>
    <xf numFmtId="3" fontId="55" fillId="0" borderId="1" xfId="7" applyNumberFormat="1" applyFont="1" applyFill="1" applyBorder="1" applyAlignment="1">
      <alignment horizontal="center" vertical="center"/>
    </xf>
    <xf numFmtId="3" fontId="38" fillId="0" borderId="1" xfId="7" applyNumberFormat="1" applyFont="1" applyFill="1" applyBorder="1" applyAlignment="1">
      <alignment horizontal="center" vertical="center"/>
    </xf>
    <xf numFmtId="0" fontId="14" fillId="0" borderId="1" xfId="8" applyFont="1" applyFill="1" applyBorder="1" applyAlignment="1">
      <alignment horizontal="center" vertical="center"/>
    </xf>
    <xf numFmtId="49" fontId="25" fillId="0" borderId="1" xfId="9" applyNumberFormat="1" applyFont="1" applyFill="1" applyBorder="1" applyAlignment="1">
      <alignment horizontal="center" vertical="center" wrapText="1"/>
    </xf>
    <xf numFmtId="0" fontId="49" fillId="0" borderId="1" xfId="9" applyFont="1" applyFill="1" applyBorder="1" applyAlignment="1">
      <alignment horizontal="left" vertical="center" wrapText="1"/>
    </xf>
    <xf numFmtId="0" fontId="25" fillId="0" borderId="1" xfId="9" applyFont="1" applyFill="1" applyBorder="1" applyAlignment="1">
      <alignment horizontal="center" vertical="center" wrapText="1"/>
    </xf>
    <xf numFmtId="49" fontId="25" fillId="0" borderId="1" xfId="9" applyNumberFormat="1" applyFont="1" applyFill="1" applyBorder="1" applyAlignment="1">
      <alignment horizontal="center" vertical="center"/>
    </xf>
    <xf numFmtId="0" fontId="25" fillId="0" borderId="1" xfId="9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 wrapText="1"/>
    </xf>
    <xf numFmtId="0" fontId="49" fillId="0" borderId="1" xfId="8" applyFont="1" applyFill="1" applyBorder="1" applyAlignment="1">
      <alignment horizontal="left" vertical="center" wrapText="1"/>
    </xf>
    <xf numFmtId="0" fontId="56" fillId="2" borderId="1" xfId="3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left" vertical="center" wrapText="1"/>
    </xf>
    <xf numFmtId="49" fontId="25" fillId="0" borderId="1" xfId="9" applyNumberFormat="1" applyFont="1" applyFill="1" applyBorder="1" applyAlignment="1">
      <alignment horizontal="left" vertical="center" wrapText="1"/>
    </xf>
    <xf numFmtId="3" fontId="14" fillId="0" borderId="1" xfId="9" applyNumberFormat="1" applyFont="1" applyFill="1" applyBorder="1" applyAlignment="1">
      <alignment horizontal="center" vertical="center"/>
    </xf>
    <xf numFmtId="3" fontId="49" fillId="0" borderId="1" xfId="8" applyNumberFormat="1" applyFont="1" applyFill="1" applyBorder="1" applyAlignment="1">
      <alignment horizontal="left" vertical="center" wrapText="1"/>
    </xf>
    <xf numFmtId="164" fontId="14" fillId="0" borderId="1" xfId="9" applyNumberFormat="1" applyFont="1" applyFill="1" applyBorder="1" applyAlignment="1">
      <alignment horizontal="center" vertical="center"/>
    </xf>
    <xf numFmtId="3" fontId="14" fillId="0" borderId="1" xfId="8" applyNumberFormat="1" applyFont="1" applyFill="1" applyBorder="1" applyAlignment="1">
      <alignment horizontal="left" vertical="center" wrapText="1"/>
    </xf>
    <xf numFmtId="3" fontId="14" fillId="0" borderId="2" xfId="9" applyNumberFormat="1" applyFont="1" applyFill="1" applyBorder="1" applyAlignment="1">
      <alignment horizontal="center" vertical="center"/>
    </xf>
    <xf numFmtId="3" fontId="49" fillId="0" borderId="2" xfId="8" applyNumberFormat="1" applyFont="1" applyFill="1" applyBorder="1" applyAlignment="1">
      <alignment horizontal="left" vertical="center" wrapText="1"/>
    </xf>
    <xf numFmtId="0" fontId="14" fillId="0" borderId="1" xfId="8" applyFont="1" applyFill="1" applyBorder="1" applyAlignment="1">
      <alignment horizontal="left" vertical="center"/>
    </xf>
    <xf numFmtId="0" fontId="17" fillId="0" borderId="0" xfId="8" applyFont="1" applyAlignment="1">
      <alignment horizontal="center"/>
    </xf>
    <xf numFmtId="0" fontId="17" fillId="0" borderId="0" xfId="8" applyFont="1"/>
    <xf numFmtId="0" fontId="14" fillId="2" borderId="0" xfId="8" applyFont="1" applyFill="1" applyProtection="1">
      <protection locked="0"/>
    </xf>
    <xf numFmtId="0" fontId="16" fillId="2" borderId="1" xfId="8" applyFont="1" applyFill="1" applyBorder="1" applyAlignment="1" applyProtection="1">
      <alignment horizontal="center" vertical="center" textRotation="90" wrapText="1"/>
      <protection locked="0"/>
    </xf>
    <xf numFmtId="0" fontId="14" fillId="2" borderId="1" xfId="8" applyFont="1" applyFill="1" applyBorder="1" applyAlignment="1" applyProtection="1">
      <alignment horizontal="center" vertical="center" wrapText="1"/>
      <protection locked="0"/>
    </xf>
    <xf numFmtId="0" fontId="14" fillId="0" borderId="0" xfId="8" applyFont="1" applyProtection="1">
      <protection locked="0"/>
    </xf>
    <xf numFmtId="3" fontId="16" fillId="5" borderId="1" xfId="8" applyNumberFormat="1" applyFont="1" applyFill="1" applyBorder="1" applyAlignment="1" applyProtection="1">
      <alignment horizontal="center" vertical="center"/>
      <protection locked="0"/>
    </xf>
    <xf numFmtId="0" fontId="16" fillId="0" borderId="0" xfId="8" applyFont="1" applyProtection="1">
      <protection locked="0"/>
    </xf>
    <xf numFmtId="3" fontId="14" fillId="2" borderId="2" xfId="8" applyNumberFormat="1" applyFont="1" applyFill="1" applyBorder="1" applyAlignment="1" applyProtection="1">
      <alignment horizontal="center" vertical="center"/>
      <protection locked="0"/>
    </xf>
    <xf numFmtId="3" fontId="14" fillId="2" borderId="1" xfId="8" applyNumberFormat="1" applyFont="1" applyFill="1" applyBorder="1" applyAlignment="1" applyProtection="1">
      <alignment horizontal="center" vertical="center"/>
      <protection locked="0"/>
    </xf>
    <xf numFmtId="0" fontId="14" fillId="0" borderId="1" xfId="8" applyFont="1" applyBorder="1" applyAlignment="1" applyProtection="1">
      <alignment horizontal="center"/>
      <protection locked="0"/>
    </xf>
    <xf numFmtId="3" fontId="14" fillId="0" borderId="2" xfId="8" applyNumberFormat="1" applyFont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/>
      <protection locked="0"/>
    </xf>
    <xf numFmtId="3" fontId="14" fillId="2" borderId="1" xfId="8" applyNumberFormat="1" applyFont="1" applyFill="1" applyBorder="1" applyAlignment="1" applyProtection="1">
      <alignment vertical="center"/>
      <protection locked="0"/>
    </xf>
    <xf numFmtId="0" fontId="14" fillId="2" borderId="1" xfId="8" applyFont="1" applyFill="1" applyBorder="1" applyAlignment="1" applyProtection="1">
      <alignment horizontal="center"/>
      <protection locked="0"/>
    </xf>
    <xf numFmtId="3" fontId="14" fillId="2" borderId="3" xfId="8" applyNumberFormat="1" applyFont="1" applyFill="1" applyBorder="1" applyAlignment="1" applyProtection="1">
      <alignment horizontal="center" vertical="center"/>
      <protection locked="0"/>
    </xf>
    <xf numFmtId="3" fontId="14" fillId="2" borderId="3" xfId="8" applyNumberFormat="1" applyFont="1" applyFill="1" applyBorder="1" applyAlignment="1" applyProtection="1">
      <alignment vertical="center"/>
      <protection locked="0"/>
    </xf>
    <xf numFmtId="3" fontId="14" fillId="0" borderId="1" xfId="8" applyNumberFormat="1" applyFont="1" applyFill="1" applyBorder="1" applyAlignment="1" applyProtection="1">
      <alignment horizontal="center" vertical="center"/>
      <protection locked="0"/>
    </xf>
    <xf numFmtId="3" fontId="14" fillId="2" borderId="2" xfId="8" applyNumberFormat="1" applyFont="1" applyFill="1" applyBorder="1" applyAlignment="1" applyProtection="1">
      <alignment vertical="center"/>
      <protection locked="0"/>
    </xf>
    <xf numFmtId="3" fontId="14" fillId="0" borderId="3" xfId="8" applyNumberFormat="1" applyFont="1" applyFill="1" applyBorder="1" applyAlignment="1" applyProtection="1">
      <alignment horizontal="center" vertical="center"/>
      <protection locked="0"/>
    </xf>
    <xf numFmtId="3" fontId="14" fillId="0" borderId="2" xfId="8" applyNumberFormat="1" applyFont="1" applyFill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vertical="center"/>
      <protection locked="0"/>
    </xf>
    <xf numFmtId="0" fontId="14" fillId="0" borderId="1" xfId="8" applyFont="1" applyFill="1" applyBorder="1" applyAlignment="1" applyProtection="1">
      <alignment horizontal="center"/>
      <protection locked="0"/>
    </xf>
    <xf numFmtId="3" fontId="16" fillId="5" borderId="2" xfId="8" applyNumberFormat="1" applyFont="1" applyFill="1" applyBorder="1" applyAlignment="1" applyProtection="1">
      <alignment horizontal="center" vertical="center"/>
      <protection locked="0"/>
    </xf>
    <xf numFmtId="0" fontId="16" fillId="5" borderId="1" xfId="8" applyFont="1" applyFill="1" applyBorder="1" applyAlignment="1" applyProtection="1">
      <alignment horizontal="center"/>
      <protection locked="0"/>
    </xf>
    <xf numFmtId="3" fontId="16" fillId="6" borderId="1" xfId="8" applyNumberFormat="1" applyFont="1" applyFill="1" applyBorder="1" applyAlignment="1" applyProtection="1">
      <alignment horizontal="center" vertical="center"/>
      <protection locked="0"/>
    </xf>
    <xf numFmtId="0" fontId="17" fillId="2" borderId="0" xfId="8" applyFont="1" applyFill="1" applyAlignment="1">
      <alignment horizontal="center"/>
    </xf>
    <xf numFmtId="0" fontId="17" fillId="2" borderId="0" xfId="8" applyFont="1" applyFill="1"/>
    <xf numFmtId="0" fontId="32" fillId="2" borderId="0" xfId="8" applyFont="1" applyFill="1"/>
    <xf numFmtId="0" fontId="32" fillId="2" borderId="0" xfId="8" applyFont="1" applyFill="1" applyAlignment="1">
      <alignment horizontal="center"/>
    </xf>
    <xf numFmtId="0" fontId="17" fillId="2" borderId="0" xfId="8" applyFont="1" applyFill="1" applyAlignment="1">
      <alignment horizontal="center" vertical="center"/>
    </xf>
    <xf numFmtId="0" fontId="17" fillId="2" borderId="0" xfId="14" applyFont="1" applyFill="1"/>
    <xf numFmtId="3" fontId="17" fillId="2" borderId="0" xfId="14" applyNumberFormat="1" applyFont="1" applyFill="1" applyAlignment="1">
      <alignment horizontal="center" vertical="center"/>
    </xf>
    <xf numFmtId="3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left" vertical="center" wrapText="1"/>
    </xf>
    <xf numFmtId="0" fontId="17" fillId="2" borderId="1" xfId="14" applyFont="1" applyFill="1" applyBorder="1" applyAlignment="1">
      <alignment horizontal="center" vertical="center"/>
    </xf>
    <xf numFmtId="3" fontId="17" fillId="2" borderId="1" xfId="14" applyNumberFormat="1" applyFont="1" applyFill="1" applyBorder="1" applyAlignment="1">
      <alignment horizontal="center" vertical="center"/>
    </xf>
    <xf numFmtId="3" fontId="17" fillId="2" borderId="0" xfId="14" applyNumberFormat="1" applyFont="1" applyFill="1"/>
    <xf numFmtId="0" fontId="14" fillId="2" borderId="1" xfId="6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 wrapText="1"/>
    </xf>
    <xf numFmtId="49" fontId="14" fillId="2" borderId="2" xfId="6" applyNumberFormat="1" applyFont="1" applyFill="1" applyBorder="1" applyAlignment="1">
      <alignment horizontal="center" vertical="center"/>
    </xf>
    <xf numFmtId="49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justify" vertical="center" wrapText="1"/>
    </xf>
    <xf numFmtId="0" fontId="26" fillId="2" borderId="1" xfId="14" applyFont="1" applyFill="1" applyBorder="1" applyAlignment="1">
      <alignment horizontal="center" vertical="center" wrapText="1"/>
    </xf>
    <xf numFmtId="49" fontId="16" fillId="2" borderId="1" xfId="6" applyNumberFormat="1" applyFont="1" applyFill="1" applyBorder="1" applyAlignment="1">
      <alignment horizontal="center" vertical="center"/>
    </xf>
    <xf numFmtId="0" fontId="26" fillId="2" borderId="1" xfId="14" applyFont="1" applyFill="1" applyBorder="1" applyAlignment="1">
      <alignment horizontal="left" vertical="center" wrapText="1"/>
    </xf>
    <xf numFmtId="0" fontId="26" fillId="2" borderId="1" xfId="14" applyFont="1" applyFill="1" applyBorder="1" applyAlignment="1">
      <alignment horizontal="center" vertical="center"/>
    </xf>
    <xf numFmtId="3" fontId="26" fillId="2" borderId="1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right" vertical="center" wrapText="1"/>
    </xf>
    <xf numFmtId="0" fontId="16" fillId="2" borderId="1" xfId="6" applyFont="1" applyFill="1" applyBorder="1" applyAlignment="1">
      <alignment horizontal="center" vertical="center" wrapText="1"/>
    </xf>
    <xf numFmtId="3" fontId="26" fillId="2" borderId="0" xfId="14" applyNumberFormat="1" applyFont="1" applyFill="1"/>
    <xf numFmtId="0" fontId="26" fillId="2" borderId="0" xfId="14" applyFont="1" applyFill="1"/>
    <xf numFmtId="3" fontId="17" fillId="2" borderId="2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/>
    </xf>
    <xf numFmtId="1" fontId="17" fillId="2" borderId="2" xfId="14" applyNumberFormat="1" applyFont="1" applyFill="1" applyBorder="1" applyAlignment="1">
      <alignment horizontal="center" vertical="center"/>
    </xf>
    <xf numFmtId="1" fontId="17" fillId="2" borderId="1" xfId="14" applyNumberFormat="1" applyFont="1" applyFill="1" applyBorder="1" applyAlignment="1">
      <alignment horizontal="center" vertical="center"/>
    </xf>
    <xf numFmtId="49" fontId="16" fillId="2" borderId="1" xfId="6" applyNumberFormat="1" applyFont="1" applyFill="1" applyBorder="1" applyAlignment="1">
      <alignment horizontal="center" vertical="center" wrapText="1"/>
    </xf>
    <xf numFmtId="3" fontId="17" fillId="2" borderId="2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 applyProtection="1">
      <alignment horizontal="center" vertical="center" wrapText="1"/>
      <protection locked="0"/>
    </xf>
    <xf numFmtId="49" fontId="16" fillId="2" borderId="1" xfId="9" applyNumberFormat="1" applyFont="1" applyFill="1" applyBorder="1" applyAlignment="1">
      <alignment horizontal="center" vertical="center"/>
    </xf>
    <xf numFmtId="0" fontId="26" fillId="2" borderId="1" xfId="27" applyFont="1" applyFill="1" applyBorder="1" applyAlignment="1">
      <alignment horizontal="left" vertical="center" wrapText="1"/>
    </xf>
    <xf numFmtId="0" fontId="26" fillId="2" borderId="4" xfId="14" applyFont="1" applyFill="1" applyBorder="1" applyAlignment="1">
      <alignment horizontal="center" vertical="center" wrapText="1"/>
    </xf>
    <xf numFmtId="0" fontId="26" fillId="2" borderId="5" xfId="14" applyFont="1" applyFill="1" applyBorder="1" applyAlignment="1">
      <alignment horizontal="center" vertical="center" wrapText="1"/>
    </xf>
    <xf numFmtId="0" fontId="26" fillId="2" borderId="20" xfId="14" applyFont="1" applyFill="1" applyBorder="1" applyAlignment="1">
      <alignment horizontal="center" vertical="center" wrapText="1"/>
    </xf>
    <xf numFmtId="0" fontId="17" fillId="2" borderId="0" xfId="14" applyFont="1" applyFill="1" applyAlignment="1">
      <alignment horizontal="center" vertical="center"/>
    </xf>
    <xf numFmtId="0" fontId="17" fillId="2" borderId="0" xfId="14" applyFont="1" applyFill="1" applyAlignment="1">
      <alignment horizontal="right"/>
    </xf>
    <xf numFmtId="0" fontId="52" fillId="0" borderId="0" xfId="2" applyFont="1"/>
    <xf numFmtId="3" fontId="52" fillId="0" borderId="0" xfId="2" applyNumberFormat="1" applyFont="1"/>
    <xf numFmtId="3" fontId="47" fillId="0" borderId="1" xfId="2" applyNumberFormat="1" applyFont="1" applyBorder="1" applyAlignment="1">
      <alignment horizontal="center" vertical="center"/>
    </xf>
    <xf numFmtId="0" fontId="47" fillId="0" borderId="1" xfId="2" applyFont="1" applyBorder="1" applyAlignment="1">
      <alignment horizontal="left" vertical="center" wrapText="1"/>
    </xf>
    <xf numFmtId="0" fontId="45" fillId="0" borderId="1" xfId="2" applyFont="1" applyBorder="1" applyAlignment="1">
      <alignment horizontal="center" vertical="center" wrapText="1"/>
    </xf>
    <xf numFmtId="3" fontId="45" fillId="0" borderId="1" xfId="2" applyNumberFormat="1" applyFont="1" applyBorder="1" applyAlignment="1">
      <alignment horizontal="center" vertical="center"/>
    </xf>
    <xf numFmtId="0" fontId="45" fillId="0" borderId="1" xfId="2" applyFont="1" applyBorder="1" applyAlignment="1">
      <alignment horizontal="left" vertical="center" wrapText="1"/>
    </xf>
    <xf numFmtId="49" fontId="45" fillId="0" borderId="1" xfId="2" applyNumberFormat="1" applyFont="1" applyBorder="1" applyAlignment="1">
      <alignment horizontal="center" vertical="center" wrapText="1"/>
    </xf>
    <xf numFmtId="0" fontId="45" fillId="0" borderId="1" xfId="2" applyFont="1" applyBorder="1" applyAlignment="1">
      <alignment horizontal="center"/>
    </xf>
    <xf numFmtId="0" fontId="45" fillId="0" borderId="1" xfId="2" applyFont="1" applyBorder="1" applyAlignment="1">
      <alignment horizontal="center" wrapText="1"/>
    </xf>
    <xf numFmtId="0" fontId="35" fillId="0" borderId="37" xfId="2" applyFont="1" applyBorder="1" applyAlignment="1">
      <alignment horizontal="center" wrapText="1"/>
    </xf>
    <xf numFmtId="0" fontId="57" fillId="0" borderId="0" xfId="29"/>
    <xf numFmtId="0" fontId="50" fillId="2" borderId="0" xfId="28" applyFont="1" applyFill="1" applyAlignment="1">
      <alignment horizontal="center" vertical="center"/>
    </xf>
    <xf numFmtId="49" fontId="50" fillId="2" borderId="0" xfId="28" applyNumberFormat="1" applyFont="1" applyFill="1" applyAlignment="1">
      <alignment horizontal="center" vertical="center"/>
    </xf>
    <xf numFmtId="0" fontId="50" fillId="2" borderId="0" xfId="28" applyFont="1" applyFill="1" applyAlignment="1">
      <alignment vertical="center"/>
    </xf>
    <xf numFmtId="3" fontId="50" fillId="2" borderId="0" xfId="28" applyNumberFormat="1" applyFont="1" applyFill="1" applyAlignment="1">
      <alignment horizontal="center" vertical="center"/>
    </xf>
    <xf numFmtId="3" fontId="50" fillId="2" borderId="1" xfId="28" applyNumberFormat="1" applyFont="1" applyFill="1" applyBorder="1" applyAlignment="1">
      <alignment horizontal="center" vertical="center"/>
    </xf>
    <xf numFmtId="3" fontId="50" fillId="2" borderId="1" xfId="28" applyNumberFormat="1" applyFont="1" applyFill="1" applyBorder="1" applyAlignment="1">
      <alignment horizontal="center" vertical="center" wrapText="1"/>
    </xf>
    <xf numFmtId="0" fontId="54" fillId="2" borderId="1" xfId="28" applyFont="1" applyFill="1" applyBorder="1" applyAlignment="1">
      <alignment vertical="center"/>
    </xf>
    <xf numFmtId="3" fontId="54" fillId="2" borderId="1" xfId="28" applyNumberFormat="1" applyFont="1" applyFill="1" applyBorder="1" applyAlignment="1">
      <alignment horizontal="center" vertical="center" wrapText="1"/>
    </xf>
    <xf numFmtId="3" fontId="54" fillId="2" borderId="1" xfId="28" applyNumberFormat="1" applyFont="1" applyFill="1" applyBorder="1" applyAlignment="1">
      <alignment horizontal="center" vertical="center"/>
    </xf>
    <xf numFmtId="4" fontId="54" fillId="2" borderId="5" xfId="28" applyNumberFormat="1" applyFont="1" applyFill="1" applyBorder="1" applyAlignment="1">
      <alignment vertical="center" wrapText="1"/>
    </xf>
    <xf numFmtId="3" fontId="50" fillId="2" borderId="1" xfId="30" applyNumberFormat="1" applyFont="1" applyFill="1" applyBorder="1" applyAlignment="1">
      <alignment horizontal="center" vertical="center" wrapText="1"/>
    </xf>
    <xf numFmtId="0" fontId="50" fillId="2" borderId="1" xfId="28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 wrapText="1"/>
    </xf>
    <xf numFmtId="0" fontId="50" fillId="2" borderId="1" xfId="6" applyFont="1" applyFill="1" applyBorder="1" applyAlignment="1">
      <alignment horizontal="center" vertical="center" wrapText="1"/>
    </xf>
    <xf numFmtId="3" fontId="17" fillId="2" borderId="0" xfId="28" applyNumberFormat="1" applyFont="1" applyFill="1" applyBorder="1" applyAlignment="1">
      <alignment horizontal="left" vertical="center"/>
    </xf>
    <xf numFmtId="49" fontId="17" fillId="2" borderId="0" xfId="28" applyNumberFormat="1" applyFont="1" applyFill="1" applyBorder="1" applyAlignment="1">
      <alignment horizontal="left" vertical="center"/>
    </xf>
    <xf numFmtId="3" fontId="17" fillId="2" borderId="0" xfId="28" applyNumberFormat="1" applyFont="1" applyFill="1" applyBorder="1" applyAlignment="1">
      <alignment horizontal="right" vertical="center"/>
    </xf>
    <xf numFmtId="3" fontId="17" fillId="2" borderId="0" xfId="28" applyNumberFormat="1" applyFont="1" applyFill="1" applyBorder="1" applyAlignment="1">
      <alignment horizontal="center" vertical="center"/>
    </xf>
    <xf numFmtId="3" fontId="50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center" vertical="center"/>
    </xf>
    <xf numFmtId="49" fontId="17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right" vertical="center"/>
    </xf>
    <xf numFmtId="0" fontId="17" fillId="2" borderId="0" xfId="28" applyFont="1" applyFill="1" applyAlignment="1">
      <alignment horizontal="center" vertical="center"/>
    </xf>
    <xf numFmtId="49" fontId="17" fillId="2" borderId="0" xfId="28" applyNumberFormat="1" applyFont="1" applyFill="1" applyAlignment="1">
      <alignment horizontal="center" vertical="center"/>
    </xf>
    <xf numFmtId="0" fontId="17" fillId="2" borderId="0" xfId="28" applyFont="1" applyFill="1" applyAlignment="1">
      <alignment vertical="center"/>
    </xf>
    <xf numFmtId="3" fontId="17" fillId="2" borderId="0" xfId="28" applyNumberFormat="1" applyFont="1" applyFill="1" applyAlignment="1">
      <alignment horizontal="center" vertical="center"/>
    </xf>
    <xf numFmtId="3" fontId="17" fillId="2" borderId="0" xfId="28" applyNumberFormat="1" applyFont="1" applyFill="1" applyAlignment="1">
      <alignment vertical="center"/>
    </xf>
    <xf numFmtId="3" fontId="17" fillId="2" borderId="0" xfId="28" applyNumberFormat="1" applyFont="1" applyFill="1" applyAlignment="1">
      <alignment horizontal="left" vertical="center"/>
    </xf>
    <xf numFmtId="3" fontId="17" fillId="2" borderId="1" xfId="28" applyNumberFormat="1" applyFont="1" applyFill="1" applyBorder="1" applyAlignment="1">
      <alignment horizontal="left" vertical="center"/>
    </xf>
    <xf numFmtId="3" fontId="17" fillId="2" borderId="1" xfId="28" applyNumberFormat="1" applyFont="1" applyFill="1" applyBorder="1" applyAlignment="1">
      <alignment vertical="center"/>
    </xf>
    <xf numFmtId="3" fontId="17" fillId="2" borderId="1" xfId="28" applyNumberFormat="1" applyFont="1" applyFill="1" applyBorder="1" applyAlignment="1">
      <alignment horizontal="center" vertical="center"/>
    </xf>
    <xf numFmtId="0" fontId="60" fillId="2" borderId="1" xfId="28" applyFont="1" applyFill="1" applyBorder="1" applyAlignment="1">
      <alignment horizontal="center" vertical="center" wrapText="1"/>
    </xf>
    <xf numFmtId="0" fontId="26" fillId="2" borderId="1" xfId="28" applyFont="1" applyFill="1" applyBorder="1" applyAlignment="1">
      <alignment vertical="center"/>
    </xf>
    <xf numFmtId="3" fontId="26" fillId="2" borderId="1" xfId="28" applyNumberFormat="1" applyFont="1" applyFill="1" applyBorder="1" applyAlignment="1">
      <alignment horizontal="center" vertical="center" wrapText="1"/>
    </xf>
    <xf numFmtId="4" fontId="26" fillId="2" borderId="1" xfId="28" applyNumberFormat="1" applyFont="1" applyFill="1" applyBorder="1" applyAlignment="1">
      <alignment vertical="center" wrapText="1"/>
    </xf>
    <xf numFmtId="3" fontId="26" fillId="2" borderId="1" xfId="28" applyNumberFormat="1" applyFont="1" applyFill="1" applyBorder="1" applyAlignment="1">
      <alignment horizontal="center" vertical="center"/>
    </xf>
    <xf numFmtId="4" fontId="17" fillId="2" borderId="1" xfId="28" applyNumberFormat="1" applyFont="1" applyFill="1" applyBorder="1" applyAlignment="1">
      <alignment horizontal="center" vertical="center" wrapText="1"/>
    </xf>
    <xf numFmtId="4" fontId="17" fillId="2" borderId="1" xfId="28" applyNumberFormat="1" applyFont="1" applyFill="1" applyBorder="1" applyAlignment="1">
      <alignment vertical="center" wrapText="1"/>
    </xf>
    <xf numFmtId="3" fontId="17" fillId="2" borderId="0" xfId="28" applyNumberFormat="1" applyFont="1" applyFill="1" applyAlignment="1">
      <alignment horizontal="right" vertical="center"/>
    </xf>
    <xf numFmtId="3" fontId="28" fillId="2" borderId="0" xfId="28" applyNumberFormat="1" applyFont="1" applyFill="1" applyAlignment="1">
      <alignment horizontal="center" vertical="center"/>
    </xf>
    <xf numFmtId="0" fontId="63" fillId="2" borderId="0" xfId="31" applyFont="1" applyFill="1" applyAlignment="1">
      <alignment horizontal="center" vertical="center"/>
    </xf>
    <xf numFmtId="0" fontId="63" fillId="2" borderId="0" xfId="31" applyFont="1" applyFill="1" applyBorder="1" applyAlignment="1">
      <alignment horizontal="left" vertical="center"/>
    </xf>
    <xf numFmtId="0" fontId="64" fillId="2" borderId="0" xfId="31" applyFont="1" applyFill="1" applyBorder="1" applyAlignment="1">
      <alignment horizontal="center" vertical="center"/>
    </xf>
    <xf numFmtId="0" fontId="61" fillId="2" borderId="0" xfId="31" applyFont="1" applyFill="1" applyAlignment="1">
      <alignment horizontal="center" vertical="center"/>
    </xf>
    <xf numFmtId="0" fontId="65" fillId="2" borderId="0" xfId="31" applyFont="1" applyFill="1" applyAlignment="1">
      <alignment horizontal="center" vertical="center"/>
    </xf>
    <xf numFmtId="0" fontId="70" fillId="2" borderId="1" xfId="31" applyFont="1" applyFill="1" applyBorder="1" applyAlignment="1">
      <alignment horizontal="center" vertical="center" wrapText="1"/>
    </xf>
    <xf numFmtId="3" fontId="65" fillId="2" borderId="1" xfId="31" applyNumberFormat="1" applyFont="1" applyFill="1" applyBorder="1" applyAlignment="1">
      <alignment horizontal="center" vertical="center" wrapText="1"/>
    </xf>
    <xf numFmtId="3" fontId="23" fillId="2" borderId="1" xfId="31" applyNumberFormat="1" applyFont="1" applyFill="1" applyBorder="1" applyAlignment="1">
      <alignment vertical="center"/>
    </xf>
    <xf numFmtId="3" fontId="72" fillId="2" borderId="1" xfId="31" applyNumberFormat="1" applyFont="1" applyFill="1" applyBorder="1" applyAlignment="1">
      <alignment horizontal="center" vertical="center" wrapText="1"/>
    </xf>
    <xf numFmtId="3" fontId="71" fillId="2" borderId="1" xfId="31" applyNumberFormat="1" applyFont="1" applyFill="1" applyBorder="1" applyAlignment="1">
      <alignment horizontal="center" vertical="center" wrapText="1"/>
    </xf>
    <xf numFmtId="3" fontId="65" fillId="2" borderId="0" xfId="31" applyNumberFormat="1" applyFont="1" applyFill="1" applyAlignment="1">
      <alignment horizontal="center" vertical="center"/>
    </xf>
    <xf numFmtId="3" fontId="56" fillId="2" borderId="1" xfId="31" applyNumberFormat="1" applyFont="1" applyFill="1" applyBorder="1" applyAlignment="1">
      <alignment vertical="center" wrapText="1"/>
    </xf>
    <xf numFmtId="0" fontId="65" fillId="2" borderId="1" xfId="31" applyFont="1" applyFill="1" applyBorder="1" applyAlignment="1">
      <alignment horizontal="left" vertical="center" wrapText="1"/>
    </xf>
    <xf numFmtId="3" fontId="73" fillId="2" borderId="1" xfId="31" applyNumberFormat="1" applyFont="1" applyFill="1" applyBorder="1" applyAlignment="1">
      <alignment horizontal="center" vertical="center"/>
    </xf>
    <xf numFmtId="3" fontId="22" fillId="2" borderId="1" xfId="31" applyNumberFormat="1" applyFont="1" applyFill="1" applyBorder="1" applyAlignment="1">
      <alignment horizontal="center" vertical="center" wrapText="1"/>
    </xf>
    <xf numFmtId="0" fontId="65" fillId="0" borderId="1" xfId="31" applyFont="1" applyFill="1" applyBorder="1" applyAlignment="1">
      <alignment horizontal="left" vertical="center" wrapText="1"/>
    </xf>
    <xf numFmtId="0" fontId="65" fillId="2" borderId="1" xfId="31" applyFont="1" applyFill="1" applyBorder="1" applyAlignment="1">
      <alignment horizontal="left" vertical="center"/>
    </xf>
    <xf numFmtId="0" fontId="73" fillId="2" borderId="1" xfId="31" applyFont="1" applyFill="1" applyBorder="1" applyAlignment="1">
      <alignment horizontal="left" vertical="center" wrapText="1"/>
    </xf>
    <xf numFmtId="3" fontId="63" fillId="2" borderId="0" xfId="31" applyNumberFormat="1" applyFont="1" applyFill="1" applyBorder="1" applyAlignment="1">
      <alignment horizontal="center" vertical="center"/>
    </xf>
    <xf numFmtId="3" fontId="63" fillId="2" borderId="0" xfId="31" applyNumberFormat="1" applyFont="1" applyFill="1" applyBorder="1" applyAlignment="1">
      <alignment horizontal="right" vertical="center"/>
    </xf>
    <xf numFmtId="3" fontId="61" fillId="2" borderId="0" xfId="31" applyNumberFormat="1" applyFont="1" applyFill="1" applyBorder="1" applyAlignment="1">
      <alignment horizontal="center" vertical="center"/>
    </xf>
    <xf numFmtId="3" fontId="22" fillId="2" borderId="0" xfId="31" applyNumberFormat="1" applyFont="1" applyFill="1" applyBorder="1" applyAlignment="1">
      <alignment horizontal="center" vertical="center" wrapText="1"/>
    </xf>
    <xf numFmtId="0" fontId="63" fillId="2" borderId="0" xfId="31" applyFont="1" applyFill="1" applyBorder="1" applyAlignment="1">
      <alignment horizontal="center" vertical="center"/>
    </xf>
    <xf numFmtId="0" fontId="61" fillId="2" borderId="0" xfId="31" applyFont="1" applyFill="1" applyBorder="1" applyAlignment="1">
      <alignment horizontal="center" vertical="center"/>
    </xf>
    <xf numFmtId="0" fontId="63" fillId="2" borderId="1" xfId="31" applyFont="1" applyFill="1" applyBorder="1" applyAlignment="1">
      <alignment horizontal="left" vertical="center"/>
    </xf>
    <xf numFmtId="0" fontId="63" fillId="2" borderId="1" xfId="31" applyFont="1" applyFill="1" applyBorder="1" applyAlignment="1">
      <alignment horizontal="center" vertical="center"/>
    </xf>
    <xf numFmtId="0" fontId="22" fillId="2" borderId="0" xfId="32" applyFont="1" applyFill="1" applyAlignment="1">
      <alignment horizontal="center" vertical="center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3" fillId="2" borderId="6" xfId="33" applyFont="1" applyFill="1" applyBorder="1" applyAlignment="1">
      <alignment horizontal="left" vertical="center" wrapText="1"/>
    </xf>
    <xf numFmtId="3" fontId="23" fillId="2" borderId="28" xfId="32" applyNumberFormat="1" applyFont="1" applyFill="1" applyBorder="1" applyAlignment="1">
      <alignment horizontal="center" vertical="center" wrapText="1"/>
    </xf>
    <xf numFmtId="0" fontId="23" fillId="2" borderId="28" xfId="32" applyFont="1" applyFill="1" applyBorder="1" applyAlignment="1">
      <alignment horizontal="center" vertical="center" wrapText="1"/>
    </xf>
    <xf numFmtId="0" fontId="22" fillId="2" borderId="6" xfId="33" applyFont="1" applyFill="1" applyBorder="1" applyAlignment="1">
      <alignment horizontal="left" vertical="center" wrapText="1"/>
    </xf>
    <xf numFmtId="3" fontId="22" fillId="2" borderId="28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left" vertical="center"/>
    </xf>
    <xf numFmtId="0" fontId="17" fillId="0" borderId="6" xfId="34" applyFont="1" applyBorder="1" applyAlignment="1">
      <alignment horizontal="left" wrapText="1"/>
    </xf>
    <xf numFmtId="0" fontId="17" fillId="0" borderId="20" xfId="34" applyFont="1" applyBorder="1" applyAlignment="1">
      <alignment horizontal="left" wrapText="1"/>
    </xf>
    <xf numFmtId="0" fontId="22" fillId="2" borderId="1" xfId="32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left" vertical="center" wrapText="1"/>
    </xf>
    <xf numFmtId="0" fontId="22" fillId="2" borderId="42" xfId="32" applyFont="1" applyFill="1" applyBorder="1" applyAlignment="1">
      <alignment horizontal="center" vertical="center" wrapText="1"/>
    </xf>
    <xf numFmtId="0" fontId="22" fillId="2" borderId="43" xfId="32" applyFont="1" applyFill="1" applyBorder="1" applyAlignment="1">
      <alignment horizontal="center" vertical="center" wrapText="1"/>
    </xf>
    <xf numFmtId="0" fontId="22" fillId="2" borderId="43" xfId="33" applyFont="1" applyFill="1" applyBorder="1" applyAlignment="1">
      <alignment horizontal="left" vertical="center" wrapText="1"/>
    </xf>
    <xf numFmtId="3" fontId="22" fillId="2" borderId="44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right" vertical="center"/>
    </xf>
    <xf numFmtId="3" fontId="22" fillId="2" borderId="0" xfId="32" applyNumberFormat="1" applyFont="1" applyFill="1" applyAlignment="1">
      <alignment horizontal="center" vertical="center"/>
    </xf>
    <xf numFmtId="0" fontId="40" fillId="0" borderId="0" xfId="35"/>
    <xf numFmtId="0" fontId="22" fillId="2" borderId="13" xfId="32" applyFont="1" applyFill="1" applyBorder="1" applyAlignment="1">
      <alignment horizontal="center" vertical="center" wrapText="1"/>
    </xf>
    <xf numFmtId="0" fontId="23" fillId="2" borderId="1" xfId="33" applyFont="1" applyFill="1" applyBorder="1" applyAlignment="1">
      <alignment horizontal="left" vertical="center" wrapText="1"/>
    </xf>
    <xf numFmtId="0" fontId="23" fillId="2" borderId="1" xfId="33" applyFont="1" applyFill="1" applyBorder="1" applyAlignment="1">
      <alignment horizontal="center" vertical="center" wrapText="1"/>
    </xf>
    <xf numFmtId="0" fontId="23" fillId="2" borderId="14" xfId="33" applyFont="1" applyFill="1" applyBorder="1" applyAlignment="1">
      <alignment horizontal="center" vertical="center" wrapText="1"/>
    </xf>
    <xf numFmtId="49" fontId="22" fillId="2" borderId="1" xfId="32" applyNumberFormat="1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center" wrapText="1"/>
    </xf>
    <xf numFmtId="0" fontId="22" fillId="2" borderId="14" xfId="33" applyFont="1" applyFill="1" applyBorder="1" applyAlignment="1">
      <alignment horizontal="center" wrapText="1"/>
    </xf>
    <xf numFmtId="0" fontId="22" fillId="2" borderId="21" xfId="32" applyFont="1" applyFill="1" applyBorder="1" applyAlignment="1">
      <alignment horizontal="center" vertical="center" wrapText="1"/>
    </xf>
    <xf numFmtId="0" fontId="22" fillId="2" borderId="22" xfId="32" applyFont="1" applyFill="1" applyBorder="1" applyAlignment="1">
      <alignment horizontal="center" vertical="center" wrapText="1"/>
    </xf>
    <xf numFmtId="0" fontId="22" fillId="2" borderId="22" xfId="33" applyFont="1" applyFill="1" applyBorder="1" applyAlignment="1">
      <alignment horizontal="left" vertical="center" wrapText="1"/>
    </xf>
    <xf numFmtId="0" fontId="22" fillId="2" borderId="22" xfId="33" applyFont="1" applyFill="1" applyBorder="1" applyAlignment="1">
      <alignment horizontal="center" wrapText="1"/>
    </xf>
    <xf numFmtId="0" fontId="22" fillId="2" borderId="23" xfId="33" applyFont="1" applyFill="1" applyBorder="1" applyAlignment="1">
      <alignment horizontal="center" wrapText="1"/>
    </xf>
    <xf numFmtId="0" fontId="44" fillId="2" borderId="0" xfId="0" applyFont="1" applyFill="1" applyAlignment="1">
      <alignment vertical="center"/>
    </xf>
    <xf numFmtId="3" fontId="44" fillId="2" borderId="0" xfId="0" applyNumberFormat="1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4" fillId="2" borderId="0" xfId="0" applyFont="1" applyFill="1" applyBorder="1" applyAlignment="1">
      <alignment vertical="center"/>
    </xf>
    <xf numFmtId="3" fontId="41" fillId="2" borderId="0" xfId="0" applyNumberFormat="1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vertical="center"/>
    </xf>
    <xf numFmtId="0" fontId="44" fillId="2" borderId="0" xfId="0" applyFont="1" applyFill="1" applyBorder="1" applyAlignment="1">
      <alignment horizontal="center" vertical="center"/>
    </xf>
    <xf numFmtId="3" fontId="44" fillId="2" borderId="0" xfId="0" applyNumberFormat="1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right" vertical="center"/>
    </xf>
    <xf numFmtId="3" fontId="41" fillId="2" borderId="45" xfId="0" applyNumberFormat="1" applyFont="1" applyFill="1" applyBorder="1" applyAlignment="1">
      <alignment horizontal="center" vertical="center"/>
    </xf>
    <xf numFmtId="3" fontId="41" fillId="2" borderId="46" xfId="0" applyNumberFormat="1" applyFont="1" applyFill="1" applyBorder="1" applyAlignment="1">
      <alignment horizontal="center" vertical="center"/>
    </xf>
    <xf numFmtId="3" fontId="41" fillId="2" borderId="47" xfId="0" applyNumberFormat="1" applyFont="1" applyFill="1" applyBorder="1" applyAlignment="1">
      <alignment horizontal="center" vertical="center"/>
    </xf>
    <xf numFmtId="3" fontId="41" fillId="2" borderId="48" xfId="0" applyNumberFormat="1" applyFont="1" applyFill="1" applyBorder="1" applyAlignment="1">
      <alignment horizontal="center" vertical="center"/>
    </xf>
    <xf numFmtId="3" fontId="41" fillId="2" borderId="49" xfId="0" applyNumberFormat="1" applyFont="1" applyFill="1" applyBorder="1" applyAlignment="1">
      <alignment horizontal="center" vertical="center"/>
    </xf>
    <xf numFmtId="3" fontId="41" fillId="2" borderId="50" xfId="0" applyNumberFormat="1" applyFont="1" applyFill="1" applyBorder="1" applyAlignment="1">
      <alignment horizontal="center" vertical="center"/>
    </xf>
    <xf numFmtId="0" fontId="41" fillId="2" borderId="50" xfId="0" applyFont="1" applyFill="1" applyBorder="1" applyAlignment="1">
      <alignment vertical="center"/>
    </xf>
    <xf numFmtId="0" fontId="44" fillId="2" borderId="51" xfId="0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3" fontId="44" fillId="2" borderId="52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horizontal="center" vertical="center"/>
    </xf>
    <xf numFmtId="3" fontId="44" fillId="2" borderId="1" xfId="0" applyNumberFormat="1" applyFont="1" applyFill="1" applyBorder="1" applyAlignment="1">
      <alignment horizontal="center" vertical="center"/>
    </xf>
    <xf numFmtId="3" fontId="44" fillId="2" borderId="13" xfId="0" applyNumberFormat="1" applyFont="1" applyFill="1" applyBorder="1" applyAlignment="1">
      <alignment horizontal="center" vertical="center"/>
    </xf>
    <xf numFmtId="3" fontId="44" fillId="2" borderId="15" xfId="0" applyNumberFormat="1" applyFont="1" applyFill="1" applyBorder="1" applyAlignment="1">
      <alignment horizontal="center" vertical="center"/>
    </xf>
    <xf numFmtId="3" fontId="44" fillId="2" borderId="27" xfId="0" applyNumberFormat="1" applyFont="1" applyFill="1" applyBorder="1" applyAlignment="1">
      <alignment horizontal="center" vertical="center"/>
    </xf>
    <xf numFmtId="3" fontId="44" fillId="2" borderId="29" xfId="0" applyNumberFormat="1" applyFont="1" applyFill="1" applyBorder="1" applyAlignment="1">
      <alignment horizontal="center" vertical="center"/>
    </xf>
    <xf numFmtId="3" fontId="44" fillId="2" borderId="20" xfId="0" applyNumberFormat="1" applyFont="1" applyFill="1" applyBorder="1" applyAlignment="1">
      <alignment horizontal="center" vertical="center"/>
    </xf>
    <xf numFmtId="3" fontId="44" fillId="2" borderId="14" xfId="36" applyNumberFormat="1" applyFont="1" applyFill="1" applyBorder="1" applyAlignment="1">
      <alignment horizontal="left" vertical="center" wrapText="1"/>
    </xf>
    <xf numFmtId="0" fontId="44" fillId="2" borderId="5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/>
    </xf>
    <xf numFmtId="3" fontId="44" fillId="2" borderId="17" xfId="0" applyNumberFormat="1" applyFont="1" applyFill="1" applyBorder="1" applyAlignment="1">
      <alignment horizontal="center" vertical="center"/>
    </xf>
    <xf numFmtId="3" fontId="44" fillId="2" borderId="53" xfId="0" applyNumberFormat="1" applyFont="1" applyFill="1" applyBorder="1" applyAlignment="1">
      <alignment horizontal="center" vertical="center"/>
    </xf>
    <xf numFmtId="3" fontId="44" fillId="2" borderId="39" xfId="0" applyNumberFormat="1" applyFont="1" applyFill="1" applyBorder="1" applyAlignment="1">
      <alignment horizontal="center" vertical="center"/>
    </xf>
    <xf numFmtId="3" fontId="44" fillId="2" borderId="19" xfId="0" applyNumberFormat="1" applyFont="1" applyFill="1" applyBorder="1" applyAlignment="1">
      <alignment vertical="center" wrapText="1"/>
    </xf>
    <xf numFmtId="0" fontId="44" fillId="2" borderId="54" xfId="0" applyFont="1" applyFill="1" applyBorder="1" applyAlignment="1">
      <alignment horizontal="center" vertical="center"/>
    </xf>
    <xf numFmtId="4" fontId="44" fillId="2" borderId="14" xfId="36" applyNumberFormat="1" applyFont="1" applyFill="1" applyBorder="1" applyAlignment="1">
      <alignment horizontal="left" vertical="center" wrapText="1"/>
    </xf>
    <xf numFmtId="3" fontId="41" fillId="2" borderId="27" xfId="0" applyNumberFormat="1" applyFont="1" applyFill="1" applyBorder="1" applyAlignment="1">
      <alignment horizontal="center" vertical="center"/>
    </xf>
    <xf numFmtId="3" fontId="41" fillId="2" borderId="29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vertical="center" wrapText="1"/>
    </xf>
    <xf numFmtId="1" fontId="44" fillId="2" borderId="14" xfId="36" applyNumberFormat="1" applyFont="1" applyFill="1" applyBorder="1" applyAlignment="1">
      <alignment horizontal="left" vertical="center" wrapText="1"/>
    </xf>
    <xf numFmtId="3" fontId="44" fillId="2" borderId="14" xfId="6" applyNumberFormat="1" applyFont="1" applyFill="1" applyBorder="1" applyAlignment="1">
      <alignment horizontal="left" vertical="center" wrapText="1"/>
    </xf>
    <xf numFmtId="3" fontId="44" fillId="2" borderId="6" xfId="0" applyNumberFormat="1" applyFont="1" applyFill="1" applyBorder="1" applyAlignment="1">
      <alignment horizontal="center" vertical="center"/>
    </xf>
    <xf numFmtId="3" fontId="44" fillId="2" borderId="16" xfId="0" applyNumberFormat="1" applyFont="1" applyFill="1" applyBorder="1" applyAlignment="1">
      <alignment horizontal="center" vertical="center"/>
    </xf>
    <xf numFmtId="3" fontId="44" fillId="2" borderId="55" xfId="0" applyNumberFormat="1" applyFont="1" applyFill="1" applyBorder="1" applyAlignment="1">
      <alignment horizontal="center" vertical="center"/>
    </xf>
    <xf numFmtId="3" fontId="44" fillId="2" borderId="28" xfId="36" applyNumberFormat="1" applyFont="1" applyFill="1" applyBorder="1" applyAlignment="1">
      <alignment horizontal="left" vertical="center" wrapText="1"/>
    </xf>
    <xf numFmtId="0" fontId="44" fillId="2" borderId="37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 wrapText="1" shrinkToFit="1"/>
    </xf>
    <xf numFmtId="3" fontId="44" fillId="2" borderId="17" xfId="0" applyNumberFormat="1" applyFont="1" applyFill="1" applyBorder="1" applyAlignment="1">
      <alignment horizontal="center" vertical="center" wrapText="1" shrinkToFit="1"/>
    </xf>
    <xf numFmtId="0" fontId="14" fillId="0" borderId="0" xfId="10" applyFont="1" applyFill="1" applyAlignment="1">
      <alignment horizontal="center" vertical="center"/>
    </xf>
    <xf numFmtId="0" fontId="14" fillId="2" borderId="0" xfId="10" applyFont="1" applyFill="1" applyAlignment="1">
      <alignment horizontal="left" vertical="center"/>
    </xf>
    <xf numFmtId="0" fontId="14" fillId="3" borderId="0" xfId="10" applyFont="1" applyFill="1" applyAlignment="1">
      <alignment horizontal="center" vertical="center"/>
    </xf>
    <xf numFmtId="3" fontId="14" fillId="2" borderId="0" xfId="10" applyNumberFormat="1" applyFont="1" applyFill="1" applyAlignment="1">
      <alignment vertical="center"/>
    </xf>
    <xf numFmtId="0" fontId="14" fillId="3" borderId="0" xfId="10" applyFont="1" applyFill="1" applyAlignment="1">
      <alignment horizontal="right" vertical="center"/>
    </xf>
    <xf numFmtId="0" fontId="14" fillId="3" borderId="0" xfId="10" applyNumberFormat="1" applyFont="1" applyFill="1" applyBorder="1" applyAlignment="1">
      <alignment horizontal="center" vertical="center" wrapText="1"/>
    </xf>
    <xf numFmtId="3" fontId="75" fillId="2" borderId="0" xfId="10" applyNumberFormat="1" applyFont="1" applyFill="1" applyBorder="1" applyAlignment="1">
      <alignment horizontal="right" vertical="center"/>
    </xf>
    <xf numFmtId="4" fontId="75" fillId="3" borderId="0" xfId="10" applyNumberFormat="1" applyFont="1" applyFill="1" applyBorder="1" applyAlignment="1">
      <alignment horizontal="right" vertical="center"/>
    </xf>
    <xf numFmtId="3" fontId="75" fillId="3" borderId="0" xfId="10" applyNumberFormat="1" applyFont="1" applyFill="1" applyBorder="1" applyAlignment="1">
      <alignment horizontal="right" vertical="center"/>
    </xf>
    <xf numFmtId="0" fontId="16" fillId="3" borderId="0" xfId="10" applyFont="1" applyFill="1" applyAlignment="1">
      <alignment horizontal="right" vertical="center"/>
    </xf>
    <xf numFmtId="3" fontId="14" fillId="2" borderId="1" xfId="10" applyNumberFormat="1" applyFont="1" applyFill="1" applyBorder="1" applyAlignment="1">
      <alignment horizontal="center" vertical="center" wrapText="1"/>
    </xf>
    <xf numFmtId="3" fontId="16" fillId="7" borderId="1" xfId="10" applyNumberFormat="1" applyFont="1" applyFill="1" applyBorder="1" applyAlignment="1">
      <alignment horizontal="right" vertical="center"/>
    </xf>
    <xf numFmtId="3" fontId="16" fillId="0" borderId="1" xfId="10" applyNumberFormat="1" applyFont="1" applyFill="1" applyBorder="1" applyAlignment="1">
      <alignment horizontal="right" vertical="center"/>
    </xf>
    <xf numFmtId="3" fontId="14" fillId="2" borderId="0" xfId="10" applyNumberFormat="1" applyFont="1" applyFill="1" applyAlignment="1">
      <alignment horizontal="right" vertical="center"/>
    </xf>
    <xf numFmtId="0" fontId="16" fillId="0" borderId="1" xfId="10" applyFont="1" applyBorder="1" applyAlignment="1">
      <alignment horizontal="center" vertical="center"/>
    </xf>
    <xf numFmtId="4" fontId="16" fillId="2" borderId="1" xfId="10" applyNumberFormat="1" applyFont="1" applyFill="1" applyBorder="1" applyAlignment="1">
      <alignment vertical="center" wrapText="1"/>
    </xf>
    <xf numFmtId="4" fontId="16" fillId="2" borderId="1" xfId="10" applyNumberFormat="1" applyFont="1" applyFill="1" applyBorder="1" applyAlignment="1">
      <alignment horizontal="center" vertical="center" wrapText="1"/>
    </xf>
    <xf numFmtId="3" fontId="14" fillId="2" borderId="1" xfId="10" applyNumberFormat="1" applyFont="1" applyFill="1" applyBorder="1" applyAlignment="1">
      <alignment vertical="center" wrapText="1"/>
    </xf>
    <xf numFmtId="0" fontId="16" fillId="2" borderId="0" xfId="10" applyFont="1" applyFill="1" applyAlignment="1">
      <alignment horizontal="right" vertical="center"/>
    </xf>
    <xf numFmtId="0" fontId="14" fillId="0" borderId="1" xfId="10" applyFont="1" applyBorder="1" applyAlignment="1">
      <alignment horizontal="center" vertical="center"/>
    </xf>
    <xf numFmtId="49" fontId="25" fillId="2" borderId="1" xfId="9" applyNumberFormat="1" applyFont="1" applyFill="1" applyBorder="1" applyAlignment="1">
      <alignment horizontal="center" vertical="center"/>
    </xf>
    <xf numFmtId="0" fontId="25" fillId="2" borderId="1" xfId="9" applyFont="1" applyFill="1" applyBorder="1" applyAlignment="1">
      <alignment horizontal="left" vertical="center" wrapText="1"/>
    </xf>
    <xf numFmtId="4" fontId="14" fillId="2" borderId="1" xfId="10" applyNumberFormat="1" applyFont="1" applyFill="1" applyBorder="1" applyAlignment="1">
      <alignment horizontal="center" vertical="center" wrapText="1"/>
    </xf>
    <xf numFmtId="3" fontId="14" fillId="0" borderId="1" xfId="10" applyNumberFormat="1" applyFont="1" applyFill="1" applyBorder="1" applyAlignment="1">
      <alignment vertical="center" wrapText="1"/>
    </xf>
    <xf numFmtId="0" fontId="14" fillId="2" borderId="0" xfId="10" applyFont="1" applyFill="1" applyAlignment="1">
      <alignment horizontal="right" vertical="center"/>
    </xf>
    <xf numFmtId="49" fontId="25" fillId="2" borderId="1" xfId="9" applyNumberFormat="1" applyFont="1" applyFill="1" applyBorder="1" applyAlignment="1">
      <alignment horizontal="center" vertical="center" wrapText="1"/>
    </xf>
    <xf numFmtId="0" fontId="49" fillId="2" borderId="1" xfId="9" applyFont="1" applyFill="1" applyBorder="1" applyAlignment="1">
      <alignment horizontal="left" vertical="center" wrapText="1"/>
    </xf>
    <xf numFmtId="0" fontId="25" fillId="2" borderId="1" xfId="9" applyFont="1" applyFill="1" applyBorder="1" applyAlignment="1">
      <alignment horizontal="center" vertical="center" wrapText="1"/>
    </xf>
    <xf numFmtId="165" fontId="14" fillId="2" borderId="0" xfId="10" applyNumberFormat="1" applyFont="1" applyFill="1" applyAlignment="1">
      <alignment horizontal="right" vertical="center"/>
    </xf>
    <xf numFmtId="4" fontId="14" fillId="3" borderId="0" xfId="10" applyNumberFormat="1" applyFont="1" applyFill="1" applyAlignment="1">
      <alignment horizontal="right" vertical="center"/>
    </xf>
    <xf numFmtId="3" fontId="14" fillId="3" borderId="0" xfId="10" applyNumberFormat="1" applyFont="1" applyFill="1" applyAlignment="1">
      <alignment horizontal="right" vertical="center"/>
    </xf>
    <xf numFmtId="167" fontId="14" fillId="2" borderId="0" xfId="10" applyNumberFormat="1" applyFont="1" applyFill="1" applyAlignment="1">
      <alignment horizontal="right" vertical="center"/>
    </xf>
    <xf numFmtId="0" fontId="15" fillId="3" borderId="0" xfId="10" applyNumberFormat="1" applyFont="1" applyFill="1" applyBorder="1" applyAlignment="1">
      <alignment horizontal="center" vertical="center" wrapText="1"/>
    </xf>
    <xf numFmtId="0" fontId="35" fillId="2" borderId="0" xfId="0" applyFont="1" applyFill="1"/>
    <xf numFmtId="3" fontId="45" fillId="2" borderId="0" xfId="0" applyNumberFormat="1" applyFont="1" applyFill="1"/>
    <xf numFmtId="0" fontId="45" fillId="2" borderId="0" xfId="0" applyFont="1" applyFill="1"/>
    <xf numFmtId="0" fontId="45" fillId="2" borderId="1" xfId="0" applyFont="1" applyFill="1" applyBorder="1" applyAlignment="1" applyProtection="1">
      <alignment horizontal="center" vertical="center"/>
      <protection locked="0"/>
    </xf>
    <xf numFmtId="49" fontId="45" fillId="2" borderId="1" xfId="9" applyNumberFormat="1" applyFont="1" applyFill="1" applyBorder="1" applyAlignment="1">
      <alignment horizontal="center" vertical="center"/>
    </xf>
    <xf numFmtId="0" fontId="45" fillId="2" borderId="1" xfId="0" applyFont="1" applyFill="1" applyBorder="1" applyAlignment="1" applyProtection="1">
      <alignment vertical="center" wrapText="1"/>
      <protection locked="0"/>
    </xf>
    <xf numFmtId="3" fontId="47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5" fillId="2" borderId="1" xfId="9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 applyProtection="1">
      <alignment vertical="center"/>
      <protection locked="0"/>
    </xf>
    <xf numFmtId="3" fontId="4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4" fillId="2" borderId="1" xfId="9" applyNumberFormat="1" applyFont="1" applyFill="1" applyBorder="1" applyAlignment="1">
      <alignment horizontal="center" vertical="center" wrapText="1"/>
    </xf>
    <xf numFmtId="0" fontId="45" fillId="2" borderId="1" xfId="9" applyFont="1" applyFill="1" applyBorder="1" applyAlignment="1">
      <alignment horizontal="center" vertical="center" wrapText="1"/>
    </xf>
    <xf numFmtId="0" fontId="47" fillId="2" borderId="1" xfId="0" applyFont="1" applyFill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 applyProtection="1">
      <alignment vertical="center"/>
      <protection locked="0"/>
    </xf>
    <xf numFmtId="4" fontId="14" fillId="2" borderId="0" xfId="5" applyNumberFormat="1" applyFont="1" applyFill="1" applyAlignment="1">
      <alignment horizontal="right" vertical="center"/>
    </xf>
    <xf numFmtId="4" fontId="44" fillId="2" borderId="0" xfId="5" applyNumberFormat="1" applyFont="1" applyFill="1" applyAlignment="1">
      <alignment horizontal="right" vertical="center"/>
    </xf>
    <xf numFmtId="3" fontId="14" fillId="2" borderId="1" xfId="5" applyNumberFormat="1" applyFont="1" applyFill="1" applyBorder="1" applyAlignment="1">
      <alignment horizontal="center" vertical="center"/>
    </xf>
    <xf numFmtId="3" fontId="25" fillId="2" borderId="1" xfId="3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left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3" fontId="49" fillId="2" borderId="4" xfId="3" applyNumberFormat="1" applyFont="1" applyFill="1" applyBorder="1" applyAlignment="1">
      <alignment horizontal="left" vertical="center" wrapText="1"/>
    </xf>
    <xf numFmtId="3" fontId="25" fillId="2" borderId="1" xfId="3" applyNumberFormat="1" applyFont="1" applyFill="1" applyBorder="1" applyAlignment="1">
      <alignment horizontal="center" vertical="center"/>
    </xf>
    <xf numFmtId="3" fontId="25" fillId="2" borderId="4" xfId="3" applyNumberFormat="1" applyFont="1" applyFill="1" applyBorder="1" applyAlignment="1">
      <alignment horizontal="left" vertical="center" wrapText="1"/>
    </xf>
    <xf numFmtId="3" fontId="14" fillId="2" borderId="1" xfId="3" applyNumberFormat="1" applyFont="1" applyFill="1" applyBorder="1" applyAlignment="1">
      <alignment horizontal="center" vertical="center" wrapText="1"/>
    </xf>
    <xf numFmtId="3" fontId="14" fillId="2" borderId="4" xfId="3" applyNumberFormat="1" applyFont="1" applyFill="1" applyBorder="1" applyAlignment="1">
      <alignment horizontal="left" vertical="center" wrapText="1"/>
    </xf>
    <xf numFmtId="49" fontId="25" fillId="2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 wrapText="1"/>
    </xf>
    <xf numFmtId="3" fontId="49" fillId="2" borderId="4" xfId="5" applyNumberFormat="1" applyFont="1" applyFill="1" applyBorder="1" applyAlignment="1">
      <alignment horizontal="left" vertical="center" wrapText="1"/>
    </xf>
    <xf numFmtId="3" fontId="25" fillId="2" borderId="2" xfId="3" applyNumberFormat="1" applyFont="1" applyFill="1" applyBorder="1" applyAlignment="1">
      <alignment horizontal="center" vertical="center"/>
    </xf>
    <xf numFmtId="3" fontId="25" fillId="2" borderId="41" xfId="3" applyNumberFormat="1" applyFont="1" applyFill="1" applyBorder="1" applyAlignment="1">
      <alignment horizontal="left" vertical="center" wrapText="1"/>
    </xf>
    <xf numFmtId="3" fontId="49" fillId="2" borderId="41" xfId="3" applyNumberFormat="1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/>
    </xf>
    <xf numFmtId="3" fontId="14" fillId="2" borderId="20" xfId="5" applyNumberFormat="1" applyFont="1" applyFill="1" applyBorder="1" applyAlignment="1">
      <alignment horizontal="center" vertical="center"/>
    </xf>
    <xf numFmtId="3" fontId="16" fillId="2" borderId="20" xfId="5" applyNumberFormat="1" applyFont="1" applyFill="1" applyBorder="1" applyAlignment="1">
      <alignment horizontal="center" vertical="center"/>
    </xf>
    <xf numFmtId="3" fontId="23" fillId="2" borderId="20" xfId="3" applyNumberFormat="1" applyFont="1" applyFill="1" applyBorder="1" applyAlignment="1">
      <alignment horizontal="center" vertical="center"/>
    </xf>
    <xf numFmtId="3" fontId="56" fillId="2" borderId="5" xfId="5" applyNumberFormat="1" applyFont="1" applyFill="1" applyBorder="1" applyAlignment="1" applyProtection="1">
      <alignment horizontal="left" vertical="center" wrapText="1"/>
      <protection locked="0"/>
    </xf>
    <xf numFmtId="3" fontId="16" fillId="2" borderId="1" xfId="5" applyNumberFormat="1" applyFont="1" applyFill="1" applyBorder="1" applyAlignment="1">
      <alignment horizontal="center" vertical="center"/>
    </xf>
    <xf numFmtId="3" fontId="16" fillId="2" borderId="0" xfId="5" applyNumberFormat="1" applyFont="1" applyFill="1" applyAlignment="1">
      <alignment horizontal="right" vertical="center"/>
    </xf>
    <xf numFmtId="3" fontId="16" fillId="2" borderId="5" xfId="5" applyNumberFormat="1" applyFont="1" applyFill="1" applyBorder="1" applyAlignment="1">
      <alignment vertical="center" wrapText="1"/>
    </xf>
    <xf numFmtId="3" fontId="16" fillId="2" borderId="1" xfId="5" applyNumberFormat="1" applyFont="1" applyFill="1" applyBorder="1" applyAlignment="1">
      <alignment horizontal="center" vertical="center" wrapText="1"/>
    </xf>
    <xf numFmtId="3" fontId="14" fillId="2" borderId="0" xfId="5" applyNumberFormat="1" applyFont="1" applyFill="1" applyAlignment="1">
      <alignment horizontal="right" vertical="center"/>
    </xf>
    <xf numFmtId="3" fontId="14" fillId="2" borderId="0" xfId="5" applyNumberFormat="1" applyFont="1" applyFill="1" applyAlignment="1">
      <alignment horizontal="center" vertical="center"/>
    </xf>
    <xf numFmtId="3" fontId="14" fillId="2" borderId="0" xfId="5" applyNumberFormat="1" applyFont="1" applyFill="1" applyAlignment="1">
      <alignment horizontal="left" vertical="center"/>
    </xf>
    <xf numFmtId="0" fontId="22" fillId="0" borderId="0" xfId="38" applyFont="1" applyFill="1" applyAlignment="1">
      <alignment vertical="center"/>
    </xf>
    <xf numFmtId="0" fontId="19" fillId="0" borderId="0" xfId="38" applyFont="1" applyFill="1" applyBorder="1" applyAlignment="1">
      <alignment horizontal="center" vertical="center" wrapText="1"/>
    </xf>
    <xf numFmtId="0" fontId="37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0" xfId="38" applyFont="1" applyFill="1" applyAlignment="1" applyProtection="1">
      <alignment vertical="center"/>
      <protection locked="0"/>
    </xf>
    <xf numFmtId="0" fontId="77" fillId="0" borderId="1" xfId="38" applyFont="1" applyFill="1" applyBorder="1" applyAlignment="1" applyProtection="1">
      <alignment horizontal="center" vertical="center" wrapText="1"/>
      <protection locked="0"/>
    </xf>
    <xf numFmtId="3" fontId="35" fillId="0" borderId="1" xfId="38" applyNumberFormat="1" applyFont="1" applyFill="1" applyBorder="1" applyAlignment="1" applyProtection="1">
      <alignment horizontal="center" vertical="center"/>
      <protection locked="0"/>
    </xf>
    <xf numFmtId="0" fontId="35" fillId="0" borderId="1" xfId="38" applyFont="1" applyFill="1" applyBorder="1" applyAlignment="1">
      <alignment vertical="center"/>
    </xf>
    <xf numFmtId="0" fontId="35" fillId="0" borderId="1" xfId="38" applyFont="1" applyBorder="1" applyAlignment="1">
      <alignment horizontal="center" vertical="center"/>
    </xf>
    <xf numFmtId="3" fontId="35" fillId="0" borderId="1" xfId="38" applyNumberFormat="1" applyFont="1" applyFill="1" applyBorder="1" applyAlignment="1">
      <alignment horizontal="center" vertical="center"/>
    </xf>
    <xf numFmtId="0" fontId="78" fillId="0" borderId="1" xfId="38" applyFont="1" applyFill="1" applyBorder="1" applyAlignment="1" applyProtection="1">
      <alignment horizontal="center" vertical="center" wrapText="1"/>
      <protection locked="0"/>
    </xf>
    <xf numFmtId="3" fontId="78" fillId="0" borderId="1" xfId="38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38" applyFont="1" applyFill="1" applyAlignment="1">
      <alignment vertical="center"/>
    </xf>
    <xf numFmtId="0" fontId="35" fillId="0" borderId="0" xfId="38" applyFont="1" applyFill="1" applyAlignment="1">
      <alignment vertical="center"/>
    </xf>
    <xf numFmtId="0" fontId="23" fillId="0" borderId="0" xfId="38" applyFont="1" applyFill="1" applyAlignment="1">
      <alignment vertical="center"/>
    </xf>
    <xf numFmtId="0" fontId="14" fillId="2" borderId="1" xfId="0" quotePrefix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45" fillId="0" borderId="1" xfId="8" applyFont="1" applyBorder="1" applyAlignment="1">
      <alignment horizontal="center"/>
    </xf>
    <xf numFmtId="0" fontId="22" fillId="0" borderId="1" xfId="8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/>
    </xf>
    <xf numFmtId="4" fontId="17" fillId="0" borderId="20" xfId="3" applyNumberFormat="1" applyFont="1" applyFill="1" applyBorder="1" applyAlignment="1">
      <alignment horizontal="center" vertical="center"/>
    </xf>
    <xf numFmtId="3" fontId="18" fillId="0" borderId="41" xfId="0" applyNumberFormat="1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/>
    </xf>
    <xf numFmtId="3" fontId="17" fillId="0" borderId="21" xfId="0" applyNumberFormat="1" applyFont="1" applyBorder="1" applyAlignment="1">
      <alignment horizontal="center" vertical="center"/>
    </xf>
    <xf numFmtId="0" fontId="17" fillId="2" borderId="22" xfId="0" quotePrefix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left" vertical="center"/>
    </xf>
    <xf numFmtId="3" fontId="27" fillId="0" borderId="21" xfId="0" applyNumberFormat="1" applyFont="1" applyFill="1" applyBorder="1" applyAlignment="1">
      <alignment horizontal="center"/>
    </xf>
    <xf numFmtId="3" fontId="27" fillId="0" borderId="23" xfId="0" applyNumberFormat="1" applyFont="1" applyFill="1" applyBorder="1" applyAlignment="1">
      <alignment horizontal="center"/>
    </xf>
    <xf numFmtId="3" fontId="27" fillId="0" borderId="24" xfId="0" applyNumberFormat="1" applyFont="1" applyFill="1" applyBorder="1" applyAlignment="1">
      <alignment horizontal="center"/>
    </xf>
    <xf numFmtId="3" fontId="27" fillId="0" borderId="24" xfId="3" applyNumberFormat="1" applyFont="1" applyFill="1" applyBorder="1" applyAlignment="1">
      <alignment horizontal="center" vertical="center"/>
    </xf>
    <xf numFmtId="3" fontId="14" fillId="0" borderId="15" xfId="0" applyNumberFormat="1" applyFont="1" applyFill="1" applyBorder="1" applyAlignment="1">
      <alignment horizontal="center" vertical="center" wrapText="1"/>
    </xf>
    <xf numFmtId="3" fontId="26" fillId="0" borderId="55" xfId="0" applyNumberFormat="1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horizontal="left" vertical="center" wrapText="1"/>
    </xf>
    <xf numFmtId="0" fontId="17" fillId="0" borderId="4" xfId="6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 wrapText="1"/>
    </xf>
    <xf numFmtId="3" fontId="17" fillId="0" borderId="36" xfId="0" applyNumberFormat="1" applyFont="1" applyFill="1" applyBorder="1" applyAlignment="1">
      <alignment horizontal="center" vertical="center"/>
    </xf>
    <xf numFmtId="3" fontId="27" fillId="0" borderId="21" xfId="0" applyNumberFormat="1" applyFont="1" applyFill="1" applyBorder="1" applyAlignment="1">
      <alignment horizontal="center" vertical="center"/>
    </xf>
    <xf numFmtId="3" fontId="27" fillId="0" borderId="22" xfId="0" applyNumberFormat="1" applyFont="1" applyFill="1" applyBorder="1" applyAlignment="1">
      <alignment horizontal="center" vertical="center"/>
    </xf>
    <xf numFmtId="3" fontId="27" fillId="0" borderId="25" xfId="0" applyNumberFormat="1" applyFont="1" applyFill="1" applyBorder="1" applyAlignment="1">
      <alignment horizontal="center" vertical="center"/>
    </xf>
    <xf numFmtId="3" fontId="27" fillId="0" borderId="61" xfId="0" applyNumberFormat="1" applyFont="1" applyFill="1" applyBorder="1" applyAlignment="1">
      <alignment horizontal="center" vertical="center"/>
    </xf>
    <xf numFmtId="3" fontId="27" fillId="0" borderId="23" xfId="0" applyNumberFormat="1" applyFont="1" applyFill="1" applyBorder="1" applyAlignment="1">
      <alignment horizontal="center" vertical="center"/>
    </xf>
    <xf numFmtId="3" fontId="27" fillId="0" borderId="24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/>
    </xf>
    <xf numFmtId="4" fontId="26" fillId="0" borderId="13" xfId="0" applyNumberFormat="1" applyFont="1" applyFill="1" applyBorder="1" applyAlignment="1">
      <alignment horizontal="center"/>
    </xf>
    <xf numFmtId="3" fontId="26" fillId="0" borderId="22" xfId="0" applyNumberFormat="1" applyFont="1" applyFill="1" applyBorder="1" applyAlignment="1">
      <alignment horizontal="center"/>
    </xf>
    <xf numFmtId="3" fontId="26" fillId="0" borderId="25" xfId="0" applyNumberFormat="1" applyFont="1" applyFill="1" applyBorder="1" applyAlignment="1">
      <alignment horizontal="center"/>
    </xf>
    <xf numFmtId="4" fontId="14" fillId="0" borderId="24" xfId="3" applyNumberFormat="1" applyFont="1" applyFill="1" applyBorder="1" applyAlignment="1">
      <alignment horizontal="center" vertical="center" wrapText="1"/>
    </xf>
    <xf numFmtId="4" fontId="22" fillId="0" borderId="20" xfId="0" applyNumberFormat="1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 vertical="center"/>
    </xf>
    <xf numFmtId="3" fontId="17" fillId="0" borderId="19" xfId="0" applyNumberFormat="1" applyFont="1" applyFill="1" applyBorder="1" applyAlignment="1">
      <alignment horizontal="center" vertical="center"/>
    </xf>
    <xf numFmtId="3" fontId="17" fillId="0" borderId="39" xfId="3" applyNumberFormat="1" applyFont="1" applyFill="1" applyBorder="1" applyAlignment="1">
      <alignment horizontal="center" vertical="center"/>
    </xf>
    <xf numFmtId="0" fontId="25" fillId="2" borderId="0" xfId="4" applyFont="1" applyFill="1" applyAlignment="1">
      <alignment horizontal="left" vertical="center"/>
    </xf>
    <xf numFmtId="4" fontId="56" fillId="2" borderId="1" xfId="4" applyNumberFormat="1" applyFont="1" applyFill="1" applyBorder="1" applyAlignment="1">
      <alignment vertical="center" wrapText="1"/>
    </xf>
    <xf numFmtId="3" fontId="25" fillId="2" borderId="1" xfId="4" applyNumberFormat="1" applyFont="1" applyFill="1" applyBorder="1" applyAlignment="1">
      <alignment horizontal="right" vertical="center"/>
    </xf>
    <xf numFmtId="0" fontId="56" fillId="2" borderId="0" xfId="4" applyFont="1" applyFill="1" applyAlignment="1">
      <alignment horizontal="right" vertical="center"/>
    </xf>
    <xf numFmtId="0" fontId="25" fillId="2" borderId="1" xfId="4" applyFont="1" applyFill="1" applyBorder="1" applyAlignment="1">
      <alignment horizontal="center" vertical="center"/>
    </xf>
    <xf numFmtId="3" fontId="25" fillId="2" borderId="1" xfId="5" applyNumberFormat="1" applyFont="1" applyFill="1" applyBorder="1" applyAlignment="1">
      <alignment horizontal="right" vertical="center"/>
    </xf>
    <xf numFmtId="0" fontId="25" fillId="2" borderId="0" xfId="4" applyFont="1" applyFill="1" applyAlignment="1">
      <alignment horizontal="right" vertical="center"/>
    </xf>
    <xf numFmtId="0" fontId="25" fillId="2" borderId="1" xfId="3" applyFont="1" applyFill="1" applyBorder="1" applyAlignment="1">
      <alignment horizontal="center" vertical="center" wrapText="1"/>
    </xf>
    <xf numFmtId="49" fontId="25" fillId="2" borderId="1" xfId="3" applyNumberFormat="1" applyFont="1" applyFill="1" applyBorder="1" applyAlignment="1">
      <alignment horizontal="center" vertical="center"/>
    </xf>
    <xf numFmtId="49" fontId="25" fillId="2" borderId="1" xfId="4" applyNumberFormat="1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left" vertical="center" wrapText="1"/>
    </xf>
    <xf numFmtId="0" fontId="25" fillId="2" borderId="1" xfId="6" applyFont="1" applyFill="1" applyBorder="1" applyAlignment="1">
      <alignment horizontal="left" vertical="center" wrapText="1"/>
    </xf>
    <xf numFmtId="0" fontId="16" fillId="5" borderId="4" xfId="8" applyFont="1" applyFill="1" applyBorder="1" applyAlignment="1" applyProtection="1">
      <alignment horizontal="center" vertical="center" wrapText="1"/>
      <protection locked="0"/>
    </xf>
    <xf numFmtId="0" fontId="16" fillId="6" borderId="4" xfId="8" applyFont="1" applyFill="1" applyBorder="1" applyAlignment="1" applyProtection="1">
      <alignment horizontal="center" vertical="center" wrapText="1"/>
      <protection locked="0"/>
    </xf>
    <xf numFmtId="0" fontId="16" fillId="5" borderId="1" xfId="8" applyFont="1" applyFill="1" applyBorder="1" applyAlignment="1" applyProtection="1">
      <alignment horizontal="center" vertical="center" wrapText="1"/>
      <protection locked="0"/>
    </xf>
    <xf numFmtId="0" fontId="14" fillId="0" borderId="1" xfId="8" applyFont="1" applyFill="1" applyBorder="1" applyAlignment="1" applyProtection="1">
      <alignment horizontal="center" vertical="center" wrapText="1"/>
      <protection locked="0"/>
    </xf>
    <xf numFmtId="0" fontId="14" fillId="2" borderId="4" xfId="8" applyFont="1" applyFill="1" applyBorder="1" applyAlignment="1" applyProtection="1">
      <alignment horizontal="center" vertical="center" wrapText="1"/>
      <protection locked="0"/>
    </xf>
    <xf numFmtId="0" fontId="14" fillId="2" borderId="2" xfId="8" applyFont="1" applyFill="1" applyBorder="1" applyAlignment="1" applyProtection="1">
      <alignment horizontal="center" vertical="center" wrapText="1"/>
      <protection locked="0"/>
    </xf>
    <xf numFmtId="0" fontId="26" fillId="2" borderId="0" xfId="8" applyFont="1" applyFill="1" applyAlignment="1">
      <alignment horizontal="center" vertical="center"/>
    </xf>
    <xf numFmtId="0" fontId="15" fillId="2" borderId="0" xfId="8" applyFont="1" applyFill="1" applyAlignment="1">
      <alignment horizontal="center" vertical="center"/>
    </xf>
    <xf numFmtId="3" fontId="14" fillId="2" borderId="20" xfId="37" applyNumberFormat="1" applyFont="1" applyFill="1" applyBorder="1" applyAlignment="1">
      <alignment horizontal="center" vertical="center" wrapText="1"/>
    </xf>
    <xf numFmtId="0" fontId="41" fillId="2" borderId="4" xfId="8" applyFont="1" applyFill="1" applyBorder="1" applyAlignment="1" applyProtection="1">
      <alignment horizontal="center" vertical="center" wrapText="1"/>
      <protection locked="0"/>
    </xf>
    <xf numFmtId="0" fontId="41" fillId="2" borderId="1" xfId="8" applyFont="1" applyFill="1" applyBorder="1" applyAlignment="1" applyProtection="1">
      <alignment horizontal="center" vertical="center" wrapText="1"/>
      <protection locked="0"/>
    </xf>
    <xf numFmtId="3" fontId="14" fillId="2" borderId="1" xfId="3" applyNumberFormat="1" applyFont="1" applyFill="1" applyBorder="1" applyAlignment="1">
      <alignment horizontal="left" vertical="center" wrapText="1"/>
    </xf>
    <xf numFmtId="3" fontId="17" fillId="2" borderId="1" xfId="3" applyNumberFormat="1" applyFont="1" applyFill="1" applyBorder="1" applyAlignment="1">
      <alignment horizontal="center" vertical="center"/>
    </xf>
    <xf numFmtId="3" fontId="18" fillId="2" borderId="1" xfId="0" applyNumberFormat="1" applyFont="1" applyFill="1" applyBorder="1" applyAlignment="1">
      <alignment horizontal="left" vertical="center" wrapText="1"/>
    </xf>
    <xf numFmtId="164" fontId="17" fillId="2" borderId="1" xfId="3" applyNumberFormat="1" applyFont="1" applyFill="1" applyBorder="1" applyAlignment="1">
      <alignment horizontal="center" vertical="center"/>
    </xf>
    <xf numFmtId="3" fontId="17" fillId="2" borderId="1" xfId="0" applyNumberFormat="1" applyFont="1" applyFill="1" applyBorder="1" applyAlignment="1">
      <alignment horizontal="left" vertical="center" wrapText="1"/>
    </xf>
    <xf numFmtId="3" fontId="17" fillId="2" borderId="2" xfId="3" applyNumberFormat="1" applyFont="1" applyFill="1" applyBorder="1" applyAlignment="1">
      <alignment horizontal="center" vertical="center"/>
    </xf>
    <xf numFmtId="3" fontId="18" fillId="2" borderId="2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3" fontId="16" fillId="2" borderId="5" xfId="5" applyNumberFormat="1" applyFont="1" applyFill="1" applyBorder="1" applyAlignment="1">
      <alignment horizontal="righ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3" fontId="79" fillId="0" borderId="0" xfId="0" applyNumberFormat="1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quotePrefix="1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left" vertical="center"/>
    </xf>
    <xf numFmtId="3" fontId="3" fillId="2" borderId="1" xfId="1" applyNumberFormat="1" applyFont="1" applyFill="1" applyBorder="1" applyProtection="1"/>
    <xf numFmtId="3" fontId="4" fillId="2" borderId="1" xfId="1" applyNumberFormat="1" applyFont="1" applyFill="1" applyBorder="1" applyProtection="1"/>
    <xf numFmtId="0" fontId="50" fillId="2" borderId="1" xfId="28" applyFont="1" applyFill="1" applyBorder="1" applyAlignment="1">
      <alignment horizontal="center" vertical="center" wrapText="1"/>
    </xf>
    <xf numFmtId="49" fontId="50" fillId="2" borderId="6" xfId="28" applyNumberFormat="1" applyFont="1" applyFill="1" applyBorder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0" fontId="67" fillId="2" borderId="1" xfId="31" applyFont="1" applyFill="1" applyBorder="1" applyAlignment="1">
      <alignment horizontal="center" vertical="center" wrapText="1"/>
    </xf>
    <xf numFmtId="0" fontId="69" fillId="2" borderId="1" xfId="31" applyFont="1" applyFill="1" applyBorder="1" applyAlignment="1">
      <alignment horizontal="center" vertical="center" wrapText="1"/>
    </xf>
    <xf numFmtId="3" fontId="28" fillId="2" borderId="0" xfId="28" applyNumberFormat="1" applyFont="1" applyFill="1" applyBorder="1" applyAlignment="1">
      <alignment horizontal="center" vertical="center"/>
    </xf>
    <xf numFmtId="0" fontId="63" fillId="2" borderId="62" xfId="31" applyFont="1" applyFill="1" applyBorder="1" applyAlignment="1">
      <alignment vertical="center"/>
    </xf>
    <xf numFmtId="3" fontId="65" fillId="2" borderId="13" xfId="31" applyNumberFormat="1" applyFont="1" applyFill="1" applyBorder="1" applyAlignment="1">
      <alignment horizontal="center" vertical="center" wrapText="1"/>
    </xf>
    <xf numFmtId="3" fontId="26" fillId="2" borderId="29" xfId="31" applyNumberFormat="1" applyFont="1" applyFill="1" applyBorder="1" applyAlignment="1">
      <alignment horizontal="center" vertical="center" wrapText="1"/>
    </xf>
    <xf numFmtId="3" fontId="71" fillId="2" borderId="6" xfId="31" applyNumberFormat="1" applyFont="1" applyFill="1" applyBorder="1" applyAlignment="1">
      <alignment horizontal="center" vertical="center" wrapText="1"/>
    </xf>
    <xf numFmtId="3" fontId="71" fillId="2" borderId="28" xfId="31" applyNumberFormat="1" applyFont="1" applyFill="1" applyBorder="1" applyAlignment="1">
      <alignment horizontal="center" vertical="center"/>
    </xf>
    <xf numFmtId="3" fontId="16" fillId="2" borderId="16" xfId="31" applyNumberFormat="1" applyFont="1" applyFill="1" applyBorder="1" applyAlignment="1">
      <alignment horizontal="center" vertical="center" wrapText="1"/>
    </xf>
    <xf numFmtId="3" fontId="16" fillId="2" borderId="6" xfId="31" applyNumberFormat="1" applyFont="1" applyFill="1" applyBorder="1" applyAlignment="1">
      <alignment horizontal="center" vertical="center" wrapText="1"/>
    </xf>
    <xf numFmtId="3" fontId="71" fillId="2" borderId="28" xfId="31" applyNumberFormat="1" applyFont="1" applyFill="1" applyBorder="1" applyAlignment="1">
      <alignment horizontal="center" vertical="center" wrapText="1"/>
    </xf>
    <xf numFmtId="3" fontId="72" fillId="2" borderId="16" xfId="31" applyNumberFormat="1" applyFont="1" applyFill="1" applyBorder="1" applyAlignment="1">
      <alignment horizontal="center" vertical="center" wrapText="1"/>
    </xf>
    <xf numFmtId="3" fontId="72" fillId="2" borderId="6" xfId="31" applyNumberFormat="1" applyFont="1" applyFill="1" applyBorder="1" applyAlignment="1">
      <alignment horizontal="center" vertical="center" wrapText="1"/>
    </xf>
    <xf numFmtId="3" fontId="72" fillId="2" borderId="14" xfId="31" applyNumberFormat="1" applyFont="1" applyFill="1" applyBorder="1" applyAlignment="1">
      <alignment horizontal="center" vertical="center" wrapText="1"/>
    </xf>
    <xf numFmtId="0" fontId="65" fillId="2" borderId="13" xfId="31" applyFont="1" applyFill="1" applyBorder="1" applyAlignment="1">
      <alignment horizontal="center" vertical="center"/>
    </xf>
    <xf numFmtId="3" fontId="65" fillId="2" borderId="6" xfId="31" applyNumberFormat="1" applyFont="1" applyFill="1" applyBorder="1" applyAlignment="1">
      <alignment horizontal="center" vertical="center" wrapText="1"/>
    </xf>
    <xf numFmtId="3" fontId="65" fillId="2" borderId="27" xfId="31" applyNumberFormat="1" applyFont="1" applyFill="1" applyBorder="1" applyAlignment="1">
      <alignment horizontal="center" vertical="center"/>
    </xf>
    <xf numFmtId="3" fontId="65" fillId="2" borderId="29" xfId="31" applyNumberFormat="1" applyFont="1" applyFill="1" applyBorder="1" applyAlignment="1">
      <alignment horizontal="center" vertical="center" wrapText="1"/>
    </xf>
    <xf numFmtId="3" fontId="65" fillId="2" borderId="27" xfId="31" applyNumberFormat="1" applyFont="1" applyFill="1" applyBorder="1" applyAlignment="1">
      <alignment horizontal="center" vertical="center" wrapText="1"/>
    </xf>
    <xf numFmtId="3" fontId="66" fillId="2" borderId="14" xfId="31" applyNumberFormat="1" applyFont="1" applyFill="1" applyBorder="1" applyAlignment="1">
      <alignment horizontal="center" vertical="center" wrapText="1"/>
    </xf>
    <xf numFmtId="3" fontId="66" fillId="2" borderId="28" xfId="31" applyNumberFormat="1" applyFont="1" applyFill="1" applyBorder="1" applyAlignment="1">
      <alignment horizontal="center" vertical="center" wrapText="1"/>
    </xf>
    <xf numFmtId="0" fontId="65" fillId="2" borderId="29" xfId="31" applyFont="1" applyFill="1" applyBorder="1" applyAlignment="1">
      <alignment horizontal="left" vertical="center" wrapText="1"/>
    </xf>
    <xf numFmtId="166" fontId="65" fillId="2" borderId="29" xfId="31" applyNumberFormat="1" applyFont="1" applyFill="1" applyBorder="1" applyAlignment="1">
      <alignment horizontal="left" vertical="center" wrapText="1"/>
    </xf>
    <xf numFmtId="0" fontId="65" fillId="2" borderId="0" xfId="31" applyFont="1" applyFill="1" applyBorder="1" applyAlignment="1">
      <alignment horizontal="left" vertical="center" wrapText="1"/>
    </xf>
    <xf numFmtId="0" fontId="65" fillId="2" borderId="29" xfId="31" applyFont="1" applyFill="1" applyBorder="1" applyAlignment="1">
      <alignment horizontal="left" vertical="center"/>
    </xf>
    <xf numFmtId="0" fontId="14" fillId="2" borderId="1" xfId="19" quotePrefix="1" applyFont="1" applyFill="1" applyBorder="1" applyAlignment="1">
      <alignment horizontal="center" vertical="center"/>
    </xf>
    <xf numFmtId="0" fontId="14" fillId="2" borderId="1" xfId="19" applyFont="1" applyFill="1" applyBorder="1" applyAlignment="1">
      <alignment horizontal="left" vertical="center"/>
    </xf>
    <xf numFmtId="0" fontId="17" fillId="2" borderId="1" xfId="14" applyFont="1" applyFill="1" applyBorder="1" applyAlignment="1">
      <alignment horizontal="center" vertical="center"/>
    </xf>
    <xf numFmtId="0" fontId="38" fillId="0" borderId="6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3" fontId="7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1" xfId="0" applyNumberFormat="1" applyFont="1" applyFill="1" applyBorder="1" applyAlignment="1">
      <alignment horizontal="center" vertical="center" wrapText="1"/>
    </xf>
    <xf numFmtId="0" fontId="56" fillId="0" borderId="1" xfId="3" applyFont="1" applyFill="1" applyBorder="1" applyAlignment="1">
      <alignment horizontal="left" vertical="center" wrapText="1"/>
    </xf>
    <xf numFmtId="0" fontId="14" fillId="0" borderId="1" xfId="10" quotePrefix="1" applyFont="1" applyFill="1" applyBorder="1" applyAlignment="1">
      <alignment horizontal="center" vertical="center"/>
    </xf>
    <xf numFmtId="0" fontId="14" fillId="0" borderId="1" xfId="10" applyFont="1" applyFill="1" applyBorder="1" applyAlignment="1">
      <alignment horizontal="left" vertical="center"/>
    </xf>
    <xf numFmtId="0" fontId="14" fillId="0" borderId="1" xfId="19" quotePrefix="1" applyFont="1" applyFill="1" applyBorder="1" applyAlignment="1">
      <alignment horizontal="center" vertical="center"/>
    </xf>
    <xf numFmtId="0" fontId="14" fillId="0" borderId="1" xfId="19" applyFont="1" applyFill="1" applyBorder="1" applyAlignment="1">
      <alignment horizontal="left" vertical="center"/>
    </xf>
    <xf numFmtId="4" fontId="9" fillId="0" borderId="0" xfId="13" applyNumberFormat="1" applyFont="1" applyFill="1"/>
    <xf numFmtId="0" fontId="50" fillId="2" borderId="1" xfId="16" quotePrefix="1" applyFont="1" applyFill="1" applyBorder="1" applyAlignment="1">
      <alignment horizontal="center" vertical="center"/>
    </xf>
    <xf numFmtId="0" fontId="50" fillId="2" borderId="1" xfId="16" applyFont="1" applyFill="1" applyBorder="1" applyAlignment="1">
      <alignment horizontal="left" vertical="center"/>
    </xf>
    <xf numFmtId="0" fontId="24" fillId="0" borderId="0" xfId="39" applyFont="1" applyFill="1"/>
    <xf numFmtId="0" fontId="24" fillId="0" borderId="0" xfId="39" applyFont="1" applyFill="1" applyAlignment="1">
      <alignment vertical="center"/>
    </xf>
    <xf numFmtId="0" fontId="6" fillId="0" borderId="1" xfId="39" applyFont="1" applyFill="1" applyBorder="1" applyAlignment="1">
      <alignment horizontal="center" vertical="center" wrapText="1"/>
    </xf>
    <xf numFmtId="3" fontId="6" fillId="0" borderId="6" xfId="39" applyNumberFormat="1" applyFont="1" applyFill="1" applyBorder="1" applyAlignment="1">
      <alignment horizontal="center" vertical="center"/>
    </xf>
    <xf numFmtId="0" fontId="6" fillId="0" borderId="6" xfId="39" applyFont="1" applyFill="1" applyBorder="1" applyAlignment="1">
      <alignment horizontal="center" vertical="center" wrapText="1"/>
    </xf>
    <xf numFmtId="0" fontId="39" fillId="0" borderId="0" xfId="39" applyFont="1" applyFill="1"/>
    <xf numFmtId="3" fontId="42" fillId="0" borderId="1" xfId="39" applyNumberFormat="1" applyFont="1" applyFill="1" applyBorder="1" applyAlignment="1">
      <alignment horizontal="center" vertical="center"/>
    </xf>
    <xf numFmtId="0" fontId="43" fillId="0" borderId="0" xfId="39" applyFont="1" applyFill="1"/>
    <xf numFmtId="3" fontId="6" fillId="0" borderId="1" xfId="39" applyNumberFormat="1" applyFont="1" applyFill="1" applyBorder="1" applyAlignment="1">
      <alignment horizontal="center" vertical="center"/>
    </xf>
    <xf numFmtId="0" fontId="47" fillId="0" borderId="1" xfId="3" applyFont="1" applyFill="1" applyBorder="1" applyAlignment="1">
      <alignment horizontal="left" vertical="center" wrapText="1"/>
    </xf>
    <xf numFmtId="0" fontId="44" fillId="0" borderId="1" xfId="6" applyFont="1" applyFill="1" applyBorder="1" applyAlignment="1">
      <alignment horizontal="left" vertical="center" wrapText="1"/>
    </xf>
    <xf numFmtId="3" fontId="44" fillId="0" borderId="1" xfId="9" applyNumberFormat="1" applyFont="1" applyFill="1" applyBorder="1" applyAlignment="1">
      <alignment horizontal="left" vertical="center" wrapText="1"/>
    </xf>
    <xf numFmtId="0" fontId="14" fillId="2" borderId="1" xfId="7" quotePrefix="1" applyFont="1" applyFill="1" applyBorder="1" applyAlignment="1">
      <alignment horizontal="center" vertical="center"/>
    </xf>
    <xf numFmtId="0" fontId="14" fillId="2" borderId="1" xfId="7" applyFont="1" applyFill="1" applyBorder="1" applyAlignment="1">
      <alignment horizontal="left" vertical="center"/>
    </xf>
    <xf numFmtId="0" fontId="25" fillId="0" borderId="1" xfId="39" applyFont="1" applyFill="1" applyBorder="1" applyAlignment="1">
      <alignment horizontal="center"/>
    </xf>
    <xf numFmtId="0" fontId="11" fillId="0" borderId="0" xfId="13" applyFont="1"/>
    <xf numFmtId="0" fontId="35" fillId="0" borderId="0" xfId="13" applyFont="1"/>
    <xf numFmtId="0" fontId="35" fillId="0" borderId="2" xfId="13" applyFont="1" applyBorder="1" applyAlignment="1">
      <alignment horizontal="center" vertical="center"/>
    </xf>
    <xf numFmtId="0" fontId="38" fillId="0" borderId="0" xfId="7" applyFont="1" applyFill="1" applyBorder="1" applyAlignment="1">
      <alignment vertical="center" wrapText="1"/>
    </xf>
    <xf numFmtId="0" fontId="35" fillId="0" borderId="1" xfId="13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center" vertical="center" wrapText="1"/>
    </xf>
    <xf numFmtId="0" fontId="25" fillId="0" borderId="0" xfId="13" applyFont="1"/>
    <xf numFmtId="3" fontId="15" fillId="0" borderId="1" xfId="13" applyNumberFormat="1" applyFont="1" applyFill="1" applyBorder="1" applyAlignment="1">
      <alignment horizontal="center" vertical="center"/>
    </xf>
    <xf numFmtId="3" fontId="15" fillId="0" borderId="1" xfId="13" applyNumberFormat="1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/>
    </xf>
    <xf numFmtId="3" fontId="32" fillId="0" borderId="1" xfId="13" applyNumberFormat="1" applyFont="1" applyFill="1" applyBorder="1" applyAlignment="1">
      <alignment wrapText="1"/>
    </xf>
    <xf numFmtId="3" fontId="32" fillId="0" borderId="1" xfId="13" applyNumberFormat="1" applyFont="1" applyFill="1" applyBorder="1" applyAlignment="1">
      <alignment horizontal="center" vertical="center" wrapText="1"/>
    </xf>
    <xf numFmtId="3" fontId="11" fillId="0" borderId="1" xfId="13" applyNumberFormat="1" applyFont="1" applyBorder="1" applyAlignment="1">
      <alignment horizontal="center" vertical="center"/>
    </xf>
    <xf numFmtId="49" fontId="32" fillId="0" borderId="1" xfId="13" applyNumberFormat="1" applyFont="1" applyFill="1" applyBorder="1" applyAlignment="1">
      <alignment horizontal="center"/>
    </xf>
    <xf numFmtId="4" fontId="11" fillId="0" borderId="0" xfId="13" applyNumberFormat="1" applyFont="1"/>
    <xf numFmtId="3" fontId="44" fillId="2" borderId="0" xfId="5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/>
    </xf>
    <xf numFmtId="0" fontId="45" fillId="2" borderId="0" xfId="0" applyFont="1" applyFill="1" applyAlignment="1">
      <alignment horizontal="center"/>
    </xf>
    <xf numFmtId="0" fontId="47" fillId="2" borderId="1" xfId="0" applyFont="1" applyFill="1" applyBorder="1" applyAlignment="1" applyProtection="1">
      <alignment vertical="center" wrapText="1"/>
      <protection locked="0"/>
    </xf>
    <xf numFmtId="3" fontId="14" fillId="2" borderId="2" xfId="5" applyNumberFormat="1" applyFont="1" applyFill="1" applyBorder="1" applyAlignment="1">
      <alignment horizontal="center" vertical="center"/>
    </xf>
    <xf numFmtId="3" fontId="25" fillId="2" borderId="2" xfId="3" applyNumberFormat="1" applyFont="1" applyFill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0" fontId="37" fillId="0" borderId="0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 wrapText="1"/>
    </xf>
    <xf numFmtId="0" fontId="56" fillId="2" borderId="1" xfId="4" applyFont="1" applyFill="1" applyBorder="1" applyAlignment="1">
      <alignment horizontal="center" vertical="center"/>
    </xf>
    <xf numFmtId="3" fontId="25" fillId="0" borderId="0" xfId="19" applyNumberFormat="1" applyFont="1" applyFill="1"/>
    <xf numFmtId="3" fontId="45" fillId="0" borderId="0" xfId="19" applyNumberFormat="1" applyFont="1" applyFill="1"/>
    <xf numFmtId="4" fontId="43" fillId="0" borderId="0" xfId="39" applyNumberFormat="1" applyFont="1" applyFill="1"/>
    <xf numFmtId="0" fontId="25" fillId="0" borderId="0" xfId="4" applyFont="1" applyFill="1" applyAlignment="1">
      <alignment horizontal="center" vertical="center"/>
    </xf>
    <xf numFmtId="3" fontId="25" fillId="3" borderId="0" xfId="4" applyNumberFormat="1" applyFont="1" applyFill="1" applyAlignment="1">
      <alignment horizontal="right" vertical="center"/>
    </xf>
    <xf numFmtId="0" fontId="25" fillId="3" borderId="0" xfId="4" applyFont="1" applyFill="1" applyAlignment="1">
      <alignment horizontal="right" vertical="center"/>
    </xf>
    <xf numFmtId="0" fontId="25" fillId="3" borderId="0" xfId="4" applyNumberFormat="1" applyFont="1" applyFill="1" applyBorder="1" applyAlignment="1">
      <alignment horizontal="center" vertical="center" wrapText="1"/>
    </xf>
    <xf numFmtId="0" fontId="56" fillId="3" borderId="0" xfId="4" applyFont="1" applyFill="1" applyAlignment="1">
      <alignment horizontal="right" vertical="center"/>
    </xf>
    <xf numFmtId="3" fontId="56" fillId="8" borderId="1" xfId="4" applyNumberFormat="1" applyFont="1" applyFill="1" applyBorder="1" applyAlignment="1">
      <alignment horizontal="right" vertical="center"/>
    </xf>
    <xf numFmtId="3" fontId="56" fillId="3" borderId="0" xfId="4" applyNumberFormat="1" applyFont="1" applyFill="1" applyAlignment="1">
      <alignment horizontal="right" vertical="center"/>
    </xf>
    <xf numFmtId="0" fontId="3" fillId="2" borderId="0" xfId="1" applyFont="1" applyFill="1" applyProtection="1"/>
    <xf numFmtId="0" fontId="2" fillId="2" borderId="0" xfId="1" applyFill="1" applyProtection="1"/>
    <xf numFmtId="0" fontId="10" fillId="2" borderId="0" xfId="1" applyFont="1" applyFill="1" applyProtection="1"/>
    <xf numFmtId="3" fontId="50" fillId="2" borderId="1" xfId="1" applyNumberFormat="1" applyFont="1" applyFill="1" applyBorder="1" applyProtection="1"/>
    <xf numFmtId="0" fontId="3" fillId="2" borderId="1" xfId="1" applyFont="1" applyFill="1" applyBorder="1" applyProtection="1"/>
    <xf numFmtId="0" fontId="3" fillId="2" borderId="1" xfId="1" applyFont="1" applyFill="1" applyBorder="1" applyAlignment="1" applyProtection="1">
      <alignment horizontal="right"/>
    </xf>
    <xf numFmtId="0" fontId="2" fillId="2" borderId="0" xfId="1" applyFont="1" applyFill="1" applyProtection="1"/>
    <xf numFmtId="3" fontId="25" fillId="0" borderId="0" xfId="40" applyNumberFormat="1" applyFont="1" applyFill="1"/>
    <xf numFmtId="3" fontId="25" fillId="0" borderId="2" xfId="40" applyNumberFormat="1" applyFont="1" applyFill="1" applyBorder="1" applyAlignment="1">
      <alignment horizontal="center" vertical="center" wrapText="1"/>
    </xf>
    <xf numFmtId="3" fontId="38" fillId="0" borderId="2" xfId="40" applyNumberFormat="1" applyFont="1" applyFill="1" applyBorder="1" applyAlignment="1">
      <alignment horizontal="center" vertical="center" wrapText="1"/>
    </xf>
    <xf numFmtId="3" fontId="38" fillId="0" borderId="6" xfId="41" applyNumberFormat="1" applyFont="1" applyFill="1" applyBorder="1" applyAlignment="1">
      <alignment horizontal="center" vertical="center" wrapText="1"/>
    </xf>
    <xf numFmtId="0" fontId="25" fillId="0" borderId="1" xfId="42" applyFont="1" applyFill="1" applyBorder="1" applyAlignment="1">
      <alignment horizontal="center" vertical="center" wrapText="1"/>
    </xf>
    <xf numFmtId="3" fontId="6" fillId="0" borderId="1" xfId="40" applyNumberFormat="1" applyFont="1" applyFill="1" applyBorder="1" applyAlignment="1">
      <alignment horizontal="center" vertical="center" wrapText="1"/>
    </xf>
    <xf numFmtId="3" fontId="6" fillId="0" borderId="1" xfId="40" applyNumberFormat="1" applyFont="1" applyFill="1" applyBorder="1" applyAlignment="1">
      <alignment horizontal="center" vertical="center"/>
    </xf>
    <xf numFmtId="3" fontId="45" fillId="0" borderId="1" xfId="40" applyNumberFormat="1" applyFont="1" applyFill="1" applyBorder="1" applyAlignment="1">
      <alignment horizontal="center"/>
    </xf>
    <xf numFmtId="3" fontId="45" fillId="0" borderId="0" xfId="40" applyNumberFormat="1" applyFont="1" applyFill="1"/>
    <xf numFmtId="3" fontId="55" fillId="0" borderId="1" xfId="40" applyNumberFormat="1" applyFont="1" applyFill="1" applyBorder="1" applyAlignment="1">
      <alignment horizontal="center" vertical="center"/>
    </xf>
    <xf numFmtId="3" fontId="55" fillId="0" borderId="1" xfId="40" applyNumberFormat="1" applyFont="1" applyFill="1" applyBorder="1" applyAlignment="1">
      <alignment horizontal="center" vertical="center" wrapText="1"/>
    </xf>
    <xf numFmtId="3" fontId="56" fillId="0" borderId="1" xfId="40" applyNumberFormat="1" applyFont="1" applyFill="1" applyBorder="1" applyAlignment="1">
      <alignment horizontal="center" vertical="center"/>
    </xf>
    <xf numFmtId="4" fontId="45" fillId="0" borderId="0" xfId="40" applyNumberFormat="1" applyFont="1" applyFill="1"/>
    <xf numFmtId="3" fontId="38" fillId="0" borderId="1" xfId="40" applyNumberFormat="1" applyFont="1" applyFill="1" applyBorder="1" applyAlignment="1">
      <alignment horizontal="center" vertical="center"/>
    </xf>
    <xf numFmtId="3" fontId="38" fillId="0" borderId="1" xfId="40" applyNumberFormat="1" applyFont="1" applyFill="1" applyBorder="1" applyAlignment="1">
      <alignment horizontal="center" vertical="center" wrapText="1"/>
    </xf>
    <xf numFmtId="3" fontId="25" fillId="0" borderId="1" xfId="40" applyNumberFormat="1" applyFont="1" applyFill="1" applyBorder="1" applyAlignment="1">
      <alignment horizontal="center" vertical="center"/>
    </xf>
    <xf numFmtId="3" fontId="25" fillId="0" borderId="1" xfId="40" applyNumberFormat="1" applyFont="1" applyFill="1" applyBorder="1" applyAlignment="1">
      <alignment horizontal="center"/>
    </xf>
    <xf numFmtId="0" fontId="14" fillId="0" borderId="1" xfId="42" quotePrefix="1" applyFont="1" applyFill="1" applyBorder="1" applyAlignment="1">
      <alignment horizontal="center" vertical="center"/>
    </xf>
    <xf numFmtId="0" fontId="14" fillId="0" borderId="1" xfId="42" applyFont="1" applyFill="1" applyBorder="1" applyAlignment="1">
      <alignment horizontal="left" vertical="center"/>
    </xf>
    <xf numFmtId="3" fontId="17" fillId="2" borderId="1" xfId="28" applyNumberFormat="1" applyFont="1" applyFill="1" applyBorder="1" applyAlignment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0" fontId="25" fillId="0" borderId="2" xfId="11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38" fillId="0" borderId="6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38" fillId="0" borderId="2" xfId="21" applyFont="1" applyFill="1" applyBorder="1" applyAlignment="1">
      <alignment horizontal="center" vertical="center" wrapText="1"/>
    </xf>
    <xf numFmtId="0" fontId="50" fillId="0" borderId="2" xfId="13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0" fontId="49" fillId="2" borderId="1" xfId="3" applyFont="1" applyFill="1" applyBorder="1" applyAlignment="1">
      <alignment horizontal="left" vertical="center" wrapText="1"/>
    </xf>
    <xf numFmtId="0" fontId="14" fillId="2" borderId="1" xfId="11" quotePrefix="1" applyFont="1" applyFill="1" applyBorder="1" applyAlignment="1">
      <alignment horizontal="center" vertical="center"/>
    </xf>
    <xf numFmtId="0" fontId="14" fillId="2" borderId="1" xfId="11" applyFont="1" applyFill="1" applyBorder="1" applyAlignment="1">
      <alignment horizontal="left" vertical="center"/>
    </xf>
    <xf numFmtId="0" fontId="14" fillId="2" borderId="1" xfId="13" quotePrefix="1" applyFont="1" applyFill="1" applyBorder="1" applyAlignment="1">
      <alignment horizontal="center" vertical="center"/>
    </xf>
    <xf numFmtId="0" fontId="14" fillId="2" borderId="1" xfId="13" applyFont="1" applyFill="1" applyBorder="1" applyAlignment="1">
      <alignment horizontal="left" vertical="center"/>
    </xf>
    <xf numFmtId="169" fontId="11" fillId="0" borderId="0" xfId="8" applyNumberFormat="1" applyFont="1"/>
    <xf numFmtId="168" fontId="11" fillId="0" borderId="0" xfId="8" applyNumberFormat="1" applyFont="1"/>
    <xf numFmtId="0" fontId="14" fillId="0" borderId="1" xfId="18" quotePrefix="1" applyFont="1" applyFill="1" applyBorder="1" applyAlignment="1">
      <alignment horizontal="center" vertical="center"/>
    </xf>
    <xf numFmtId="0" fontId="14" fillId="0" borderId="1" xfId="18" applyFont="1" applyFill="1" applyBorder="1" applyAlignment="1">
      <alignment horizontal="left" vertical="center"/>
    </xf>
    <xf numFmtId="49" fontId="50" fillId="2" borderId="1" xfId="9" applyNumberFormat="1" applyFont="1" applyFill="1" applyBorder="1" applyAlignment="1">
      <alignment horizontal="center" vertical="center" wrapText="1"/>
    </xf>
    <xf numFmtId="0" fontId="11" fillId="0" borderId="1" xfId="13" applyFont="1" applyFill="1" applyBorder="1"/>
    <xf numFmtId="3" fontId="11" fillId="0" borderId="1" xfId="13" applyNumberFormat="1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3" fontId="25" fillId="2" borderId="1" xfId="4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3" fontId="23" fillId="0" borderId="13" xfId="0" applyNumberFormat="1" applyFont="1" applyFill="1" applyBorder="1" applyAlignment="1">
      <alignment horizontal="center" vertical="center"/>
    </xf>
    <xf numFmtId="3" fontId="17" fillId="0" borderId="5" xfId="0" applyNumberFormat="1" applyFont="1" applyFill="1" applyBorder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49" fontId="17" fillId="0" borderId="1" xfId="9" applyNumberFormat="1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left" vertical="center"/>
    </xf>
    <xf numFmtId="49" fontId="17" fillId="0" borderId="1" xfId="3" applyNumberFormat="1" applyFont="1" applyFill="1" applyBorder="1" applyAlignment="1">
      <alignment horizontal="center" vertical="center" wrapText="1"/>
    </xf>
    <xf numFmtId="0" fontId="25" fillId="0" borderId="1" xfId="4" applyFont="1" applyFill="1" applyBorder="1" applyAlignment="1">
      <alignment horizontal="center" vertical="center"/>
    </xf>
    <xf numFmtId="0" fontId="25" fillId="2" borderId="1" xfId="4" applyFont="1" applyFill="1" applyBorder="1" applyAlignment="1">
      <alignment horizontal="left" vertical="center"/>
    </xf>
    <xf numFmtId="4" fontId="25" fillId="3" borderId="1" xfId="4" applyNumberFormat="1" applyFont="1" applyFill="1" applyBorder="1" applyAlignment="1">
      <alignment horizontal="right" vertical="center"/>
    </xf>
    <xf numFmtId="3" fontId="3" fillId="0" borderId="1" xfId="1" applyNumberFormat="1" applyFont="1" applyFill="1" applyBorder="1" applyProtection="1"/>
    <xf numFmtId="0" fontId="5" fillId="0" borderId="1" xfId="2" applyFont="1" applyFill="1" applyBorder="1" applyAlignment="1">
      <alignment horizontal="center" vertical="center"/>
    </xf>
    <xf numFmtId="49" fontId="11" fillId="0" borderId="1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vertical="center" wrapText="1"/>
    </xf>
    <xf numFmtId="3" fontId="50" fillId="0" borderId="1" xfId="1" applyNumberFormat="1" applyFont="1" applyFill="1" applyBorder="1" applyProtection="1"/>
    <xf numFmtId="0" fontId="2" fillId="0" borderId="0" xfId="1" applyFill="1" applyProtection="1"/>
    <xf numFmtId="4" fontId="25" fillId="3" borderId="0" xfId="4" applyNumberFormat="1" applyFont="1" applyFill="1" applyAlignment="1">
      <alignment horizontal="right" vertical="center"/>
    </xf>
    <xf numFmtId="3" fontId="14" fillId="2" borderId="2" xfId="14" applyNumberFormat="1" applyFont="1" applyFill="1" applyBorder="1" applyAlignment="1">
      <alignment horizontal="center" vertical="center" wrapText="1"/>
    </xf>
    <xf numFmtId="3" fontId="14" fillId="2" borderId="3" xfId="14" applyNumberFormat="1" applyFont="1" applyFill="1" applyBorder="1" applyAlignment="1">
      <alignment horizontal="center" vertical="center" wrapText="1"/>
    </xf>
    <xf numFmtId="3" fontId="14" fillId="2" borderId="6" xfId="14" applyNumberFormat="1" applyFont="1" applyFill="1" applyBorder="1" applyAlignment="1">
      <alignment horizontal="center" vertical="center" wrapText="1"/>
    </xf>
    <xf numFmtId="3" fontId="14" fillId="2" borderId="1" xfId="14" applyNumberFormat="1" applyFont="1" applyFill="1" applyBorder="1" applyAlignment="1">
      <alignment horizontal="center" vertical="center" wrapText="1"/>
    </xf>
    <xf numFmtId="0" fontId="15" fillId="2" borderId="0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center" vertical="center" wrapText="1"/>
    </xf>
    <xf numFmtId="0" fontId="14" fillId="2" borderId="1" xfId="14" applyFont="1" applyFill="1" applyBorder="1" applyAlignment="1">
      <alignment horizontal="center" vertical="center" wrapText="1"/>
    </xf>
    <xf numFmtId="3" fontId="14" fillId="2" borderId="4" xfId="14" applyNumberFormat="1" applyFont="1" applyFill="1" applyBorder="1" applyAlignment="1">
      <alignment horizontal="center" vertical="center" wrapText="1"/>
    </xf>
    <xf numFmtId="3" fontId="14" fillId="2" borderId="5" xfId="14" applyNumberFormat="1" applyFont="1" applyFill="1" applyBorder="1" applyAlignment="1">
      <alignment horizontal="center" vertical="center" wrapText="1"/>
    </xf>
    <xf numFmtId="0" fontId="16" fillId="2" borderId="2" xfId="8" applyFont="1" applyFill="1" applyBorder="1" applyAlignment="1" applyProtection="1">
      <alignment horizontal="center" vertical="center" wrapText="1"/>
      <protection locked="0"/>
    </xf>
    <xf numFmtId="0" fontId="16" fillId="2" borderId="3" xfId="8" applyFont="1" applyFill="1" applyBorder="1" applyAlignment="1" applyProtection="1">
      <alignment horizontal="center" vertical="center" wrapText="1"/>
      <protection locked="0"/>
    </xf>
    <xf numFmtId="0" fontId="26" fillId="0" borderId="37" xfId="8" applyFont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Alignment="1">
      <alignment horizontal="center" vertical="center" wrapText="1"/>
    </xf>
    <xf numFmtId="3" fontId="15" fillId="2" borderId="0" xfId="5" applyNumberFormat="1" applyFont="1" applyFill="1" applyBorder="1" applyAlignment="1">
      <alignment horizontal="center" vertical="center" wrapText="1"/>
    </xf>
    <xf numFmtId="3" fontId="44" fillId="2" borderId="2" xfId="5" applyNumberFormat="1" applyFont="1" applyFill="1" applyBorder="1" applyAlignment="1">
      <alignment horizontal="center" vertical="center" wrapText="1"/>
    </xf>
    <xf numFmtId="3" fontId="44" fillId="2" borderId="6" xfId="5" applyNumberFormat="1" applyFont="1" applyFill="1" applyBorder="1" applyAlignment="1">
      <alignment horizontal="center" vertical="center" wrapText="1"/>
    </xf>
    <xf numFmtId="3" fontId="44" fillId="2" borderId="1" xfId="5" applyNumberFormat="1" applyFont="1" applyFill="1" applyBorder="1" applyAlignment="1">
      <alignment horizontal="center" vertical="center" wrapText="1"/>
    </xf>
    <xf numFmtId="3" fontId="14" fillId="2" borderId="1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0" fontId="19" fillId="0" borderId="0" xfId="38" applyFont="1" applyFill="1" applyBorder="1" applyAlignment="1">
      <alignment horizontal="center" vertical="center" wrapText="1"/>
    </xf>
    <xf numFmtId="3" fontId="76" fillId="2" borderId="2" xfId="0" applyNumberFormat="1" applyFont="1" applyFill="1" applyBorder="1" applyAlignment="1">
      <alignment horizontal="center" vertical="center" wrapText="1"/>
    </xf>
    <xf numFmtId="3" fontId="76" fillId="2" borderId="6" xfId="0" applyNumberFormat="1" applyFont="1" applyFill="1" applyBorder="1" applyAlignment="1">
      <alignment horizontal="center" vertical="center" wrapText="1"/>
    </xf>
    <xf numFmtId="3" fontId="7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7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76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0" xfId="0" applyFont="1" applyFill="1" applyAlignment="1">
      <alignment horizontal="center" vertical="center"/>
    </xf>
    <xf numFmtId="0" fontId="45" fillId="2" borderId="4" xfId="0" applyFont="1" applyFill="1" applyBorder="1" applyAlignment="1" applyProtection="1">
      <alignment horizontal="center" vertical="center" wrapText="1"/>
      <protection locked="0"/>
    </xf>
    <xf numFmtId="0" fontId="45" fillId="2" borderId="2" xfId="0" applyFont="1" applyFill="1" applyBorder="1" applyAlignment="1" applyProtection="1">
      <alignment horizontal="center" vertical="center" wrapText="1"/>
      <protection locked="0"/>
    </xf>
    <xf numFmtId="0" fontId="45" fillId="2" borderId="3" xfId="0" applyFont="1" applyFill="1" applyBorder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0" fontId="45" fillId="2" borderId="2" xfId="0" applyFont="1" applyFill="1" applyBorder="1" applyAlignment="1" applyProtection="1">
      <alignment horizontal="center" vertical="center"/>
      <protection locked="0"/>
    </xf>
    <xf numFmtId="0" fontId="45" fillId="2" borderId="3" xfId="0" applyFont="1" applyFill="1" applyBorder="1" applyAlignment="1" applyProtection="1">
      <alignment horizontal="center" vertical="center"/>
      <protection locked="0"/>
    </xf>
    <xf numFmtId="0" fontId="45" fillId="2" borderId="6" xfId="0" applyFont="1" applyFill="1" applyBorder="1" applyAlignment="1" applyProtection="1">
      <alignment horizontal="center" vertical="center"/>
      <protection locked="0"/>
    </xf>
    <xf numFmtId="3" fontId="47" fillId="2" borderId="2" xfId="0" applyNumberFormat="1" applyFont="1" applyFill="1" applyBorder="1" applyAlignment="1">
      <alignment horizontal="center" vertical="center" wrapText="1"/>
    </xf>
    <xf numFmtId="3" fontId="47" fillId="2" borderId="3" xfId="0" applyNumberFormat="1" applyFont="1" applyFill="1" applyBorder="1" applyAlignment="1">
      <alignment horizontal="center" vertical="center" wrapText="1"/>
    </xf>
    <xf numFmtId="3" fontId="47" fillId="2" borderId="6" xfId="0" applyNumberFormat="1" applyFont="1" applyFill="1" applyBorder="1" applyAlignment="1">
      <alignment horizontal="center" vertical="center" wrapText="1"/>
    </xf>
    <xf numFmtId="3" fontId="47" fillId="2" borderId="4" xfId="0" applyNumberFormat="1" applyFont="1" applyFill="1" applyBorder="1" applyAlignment="1" applyProtection="1">
      <alignment horizontal="center" vertical="center"/>
      <protection locked="0"/>
    </xf>
    <xf numFmtId="3" fontId="47" fillId="2" borderId="5" xfId="0" applyNumberFormat="1" applyFont="1" applyFill="1" applyBorder="1" applyAlignment="1" applyProtection="1">
      <alignment horizontal="center" vertical="center"/>
      <protection locked="0"/>
    </xf>
    <xf numFmtId="3" fontId="47" fillId="2" borderId="20" xfId="0" applyNumberFormat="1" applyFont="1" applyFill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>
      <alignment horizontal="center" vertical="center"/>
    </xf>
    <xf numFmtId="3" fontId="45" fillId="2" borderId="41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39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27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29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1" xfId="0" applyNumberFormat="1" applyFont="1" applyFill="1" applyBorder="1" applyAlignment="1" applyProtection="1">
      <alignment horizontal="center" vertical="center"/>
      <protection locked="0"/>
    </xf>
    <xf numFmtId="3" fontId="45" fillId="2" borderId="1" xfId="0" applyNumberFormat="1" applyFont="1" applyFill="1" applyBorder="1" applyAlignment="1">
      <alignment horizontal="center" vertical="center" wrapText="1"/>
    </xf>
    <xf numFmtId="0" fontId="45" fillId="2" borderId="41" xfId="0" applyFont="1" applyFill="1" applyBorder="1" applyAlignment="1">
      <alignment horizontal="center" vertical="center" wrapText="1"/>
    </xf>
    <xf numFmtId="0" fontId="45" fillId="2" borderId="54" xfId="0" applyFont="1" applyFill="1" applyBorder="1" applyAlignment="1">
      <alignment horizontal="center" vertical="center" wrapText="1"/>
    </xf>
    <xf numFmtId="0" fontId="45" fillId="2" borderId="39" xfId="0" applyFont="1" applyFill="1" applyBorder="1" applyAlignment="1">
      <alignment horizontal="center" vertical="center" wrapText="1"/>
    </xf>
    <xf numFmtId="0" fontId="45" fillId="2" borderId="27" xfId="0" applyFont="1" applyFill="1" applyBorder="1" applyAlignment="1">
      <alignment horizontal="center" vertical="center" wrapText="1"/>
    </xf>
    <xf numFmtId="0" fontId="45" fillId="2" borderId="37" xfId="0" applyFont="1" applyFill="1" applyBorder="1" applyAlignment="1">
      <alignment horizontal="center" vertical="center" wrapText="1"/>
    </xf>
    <xf numFmtId="0" fontId="45" fillId="2" borderId="29" xfId="0" applyFont="1" applyFill="1" applyBorder="1" applyAlignment="1">
      <alignment horizontal="center" vertical="center" wrapText="1"/>
    </xf>
    <xf numFmtId="3" fontId="37" fillId="0" borderId="37" xfId="40" applyNumberFormat="1" applyFont="1" applyFill="1" applyBorder="1" applyAlignment="1">
      <alignment horizontal="center" vertical="center" wrapText="1"/>
    </xf>
    <xf numFmtId="3" fontId="38" fillId="0" borderId="1" xfId="40" applyNumberFormat="1" applyFont="1" applyFill="1" applyBorder="1" applyAlignment="1">
      <alignment horizontal="center" vertical="center" wrapText="1"/>
    </xf>
    <xf numFmtId="3" fontId="17" fillId="0" borderId="2" xfId="40" applyNumberFormat="1" applyFont="1" applyFill="1" applyBorder="1" applyAlignment="1">
      <alignment horizontal="center" vertical="center" wrapText="1"/>
    </xf>
    <xf numFmtId="3" fontId="17" fillId="0" borderId="3" xfId="40" applyNumberFormat="1" applyFont="1" applyFill="1" applyBorder="1" applyAlignment="1">
      <alignment horizontal="center" vertical="center" wrapText="1"/>
    </xf>
    <xf numFmtId="3" fontId="17" fillId="0" borderId="6" xfId="40" applyNumberFormat="1" applyFont="1" applyFill="1" applyBorder="1" applyAlignment="1">
      <alignment horizontal="center" vertical="center" wrapText="1"/>
    </xf>
    <xf numFmtId="3" fontId="38" fillId="0" borderId="3" xfId="40" applyNumberFormat="1" applyFont="1" applyFill="1" applyBorder="1" applyAlignment="1">
      <alignment horizontal="center" vertical="center" wrapText="1"/>
    </xf>
    <xf numFmtId="3" fontId="38" fillId="0" borderId="6" xfId="40" applyNumberFormat="1" applyFont="1" applyFill="1" applyBorder="1" applyAlignment="1">
      <alignment horizontal="center" vertical="center" wrapText="1"/>
    </xf>
    <xf numFmtId="3" fontId="38" fillId="0" borderId="27" xfId="40" applyNumberFormat="1" applyFont="1" applyFill="1" applyBorder="1" applyAlignment="1">
      <alignment horizontal="center" vertical="center" wrapText="1"/>
    </xf>
    <xf numFmtId="3" fontId="38" fillId="0" borderId="37" xfId="40" applyNumberFormat="1" applyFont="1" applyFill="1" applyBorder="1" applyAlignment="1">
      <alignment horizontal="center" vertical="center" wrapText="1"/>
    </xf>
    <xf numFmtId="3" fontId="38" fillId="0" borderId="4" xfId="40" applyNumberFormat="1" applyFont="1" applyFill="1" applyBorder="1" applyAlignment="1">
      <alignment horizontal="center" vertical="center" wrapText="1"/>
    </xf>
    <xf numFmtId="3" fontId="38" fillId="0" borderId="5" xfId="40" applyNumberFormat="1" applyFont="1" applyFill="1" applyBorder="1" applyAlignment="1">
      <alignment horizontal="center" vertical="center" wrapText="1"/>
    </xf>
    <xf numFmtId="3" fontId="38" fillId="0" borderId="20" xfId="40" applyNumberFormat="1" applyFont="1" applyFill="1" applyBorder="1" applyAlignment="1">
      <alignment horizontal="center" vertical="center" wrapText="1"/>
    </xf>
    <xf numFmtId="3" fontId="22" fillId="0" borderId="0" xfId="40" applyNumberFormat="1" applyFont="1" applyFill="1" applyAlignment="1">
      <alignment horizontal="left"/>
    </xf>
    <xf numFmtId="3" fontId="25" fillId="0" borderId="1" xfId="40" applyNumberFormat="1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 vertical="center"/>
    </xf>
    <xf numFmtId="4" fontId="14" fillId="0" borderId="4" xfId="8" applyNumberFormat="1" applyFont="1" applyFill="1" applyBorder="1" applyAlignment="1">
      <alignment horizontal="center" vertical="center" wrapText="1"/>
    </xf>
    <xf numFmtId="4" fontId="14" fillId="0" borderId="5" xfId="8" applyNumberFormat="1" applyFont="1" applyFill="1" applyBorder="1" applyAlignment="1">
      <alignment horizontal="center" vertical="center" wrapText="1"/>
    </xf>
    <xf numFmtId="4" fontId="14" fillId="0" borderId="20" xfId="8" applyNumberFormat="1" applyFont="1" applyFill="1" applyBorder="1" applyAlignment="1">
      <alignment horizontal="center" vertical="center" wrapText="1"/>
    </xf>
    <xf numFmtId="4" fontId="16" fillId="0" borderId="4" xfId="8" applyNumberFormat="1" applyFont="1" applyFill="1" applyBorder="1" applyAlignment="1">
      <alignment horizontal="center" vertical="center" wrapText="1"/>
    </xf>
    <xf numFmtId="4" fontId="16" fillId="0" borderId="5" xfId="8" applyNumberFormat="1" applyFont="1" applyFill="1" applyBorder="1" applyAlignment="1">
      <alignment horizontal="center" vertical="center" wrapText="1"/>
    </xf>
    <xf numFmtId="4" fontId="16" fillId="0" borderId="20" xfId="8" applyNumberFormat="1" applyFont="1" applyFill="1" applyBorder="1" applyAlignment="1">
      <alignment horizontal="center" vertical="center" wrapText="1"/>
    </xf>
    <xf numFmtId="0" fontId="14" fillId="0" borderId="2" xfId="13" applyFont="1" applyFill="1" applyBorder="1" applyAlignment="1">
      <alignment horizontal="center" vertical="center"/>
    </xf>
    <xf numFmtId="0" fontId="14" fillId="0" borderId="3" xfId="13" applyFont="1" applyFill="1" applyBorder="1" applyAlignment="1">
      <alignment horizontal="center" vertical="center"/>
    </xf>
    <xf numFmtId="0" fontId="14" fillId="0" borderId="6" xfId="13" applyFont="1" applyFill="1" applyBorder="1" applyAlignment="1">
      <alignment horizontal="center" vertical="center"/>
    </xf>
    <xf numFmtId="49" fontId="14" fillId="0" borderId="2" xfId="9" applyNumberFormat="1" applyFont="1" applyFill="1" applyBorder="1" applyAlignment="1">
      <alignment horizontal="center" vertical="center"/>
    </xf>
    <xf numFmtId="49" fontId="14" fillId="0" borderId="3" xfId="9" applyNumberFormat="1" applyFont="1" applyFill="1" applyBorder="1" applyAlignment="1">
      <alignment horizontal="center" vertical="center"/>
    </xf>
    <xf numFmtId="49" fontId="14" fillId="0" borderId="6" xfId="9" applyNumberFormat="1" applyFont="1" applyFill="1" applyBorder="1" applyAlignment="1">
      <alignment horizontal="center" vertical="center"/>
    </xf>
    <xf numFmtId="3" fontId="38" fillId="0" borderId="2" xfId="40" applyNumberFormat="1" applyFont="1" applyFill="1" applyBorder="1" applyAlignment="1">
      <alignment horizontal="center" vertical="center" wrapText="1"/>
    </xf>
    <xf numFmtId="0" fontId="14" fillId="0" borderId="1" xfId="8" applyFont="1" applyBorder="1" applyAlignment="1">
      <alignment horizontal="center" vertical="center"/>
    </xf>
    <xf numFmtId="0" fontId="14" fillId="2" borderId="2" xfId="8" applyFont="1" applyFill="1" applyBorder="1" applyAlignment="1">
      <alignment horizontal="center" vertical="center"/>
    </xf>
    <xf numFmtId="0" fontId="14" fillId="2" borderId="3" xfId="8" applyFont="1" applyFill="1" applyBorder="1" applyAlignment="1">
      <alignment horizontal="center" vertical="center"/>
    </xf>
    <xf numFmtId="0" fontId="14" fillId="2" borderId="6" xfId="8" applyFont="1" applyFill="1" applyBorder="1" applyAlignment="1">
      <alignment horizontal="center" vertical="center"/>
    </xf>
    <xf numFmtId="49" fontId="14" fillId="2" borderId="2" xfId="9" applyNumberFormat="1" applyFont="1" applyFill="1" applyBorder="1" applyAlignment="1">
      <alignment horizontal="center" vertical="center"/>
    </xf>
    <xf numFmtId="49" fontId="14" fillId="2" borderId="3" xfId="9" applyNumberFormat="1" applyFont="1" applyFill="1" applyBorder="1" applyAlignment="1">
      <alignment horizontal="center" vertical="center"/>
    </xf>
    <xf numFmtId="49" fontId="14" fillId="2" borderId="6" xfId="9" applyNumberFormat="1" applyFont="1" applyFill="1" applyBorder="1" applyAlignment="1">
      <alignment horizontal="center" vertical="center"/>
    </xf>
    <xf numFmtId="0" fontId="11" fillId="0" borderId="0" xfId="13" applyFont="1" applyFill="1" applyAlignment="1">
      <alignment horizontal="left" vertical="center" wrapText="1"/>
    </xf>
    <xf numFmtId="0" fontId="35" fillId="0" borderId="0" xfId="11" applyFont="1" applyAlignment="1">
      <alignment horizontal="center" vertical="center" wrapText="1"/>
    </xf>
    <xf numFmtId="0" fontId="14" fillId="0" borderId="2" xfId="8" applyFont="1" applyBorder="1" applyAlignment="1">
      <alignment horizontal="center" vertical="center" wrapText="1"/>
    </xf>
    <xf numFmtId="0" fontId="14" fillId="0" borderId="3" xfId="8" applyFont="1" applyBorder="1" applyAlignment="1">
      <alignment horizontal="center" vertical="center" wrapText="1"/>
    </xf>
    <xf numFmtId="0" fontId="25" fillId="0" borderId="2" xfId="8" applyFont="1" applyBorder="1" applyAlignment="1">
      <alignment horizontal="center" vertical="center" wrapText="1"/>
    </xf>
    <xf numFmtId="0" fontId="25" fillId="0" borderId="3" xfId="8" applyFont="1" applyBorder="1" applyAlignment="1">
      <alignment horizontal="center" vertical="center" wrapText="1"/>
    </xf>
    <xf numFmtId="2" fontId="25" fillId="0" borderId="4" xfId="11" applyNumberFormat="1" applyFont="1" applyBorder="1" applyAlignment="1">
      <alignment horizontal="center" vertical="center" wrapText="1"/>
    </xf>
    <xf numFmtId="2" fontId="25" fillId="0" borderId="5" xfId="11" applyNumberFormat="1" applyFont="1" applyBorder="1" applyAlignment="1">
      <alignment horizontal="center" vertical="center" wrapText="1"/>
    </xf>
    <xf numFmtId="2" fontId="25" fillId="0" borderId="20" xfId="11" applyNumberFormat="1" applyFont="1" applyBorder="1" applyAlignment="1">
      <alignment horizontal="center" vertical="center" wrapText="1"/>
    </xf>
    <xf numFmtId="0" fontId="25" fillId="0" borderId="20" xfId="11" applyFont="1" applyBorder="1" applyAlignment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0" fontId="25" fillId="0" borderId="4" xfId="11" applyFont="1" applyBorder="1" applyAlignment="1">
      <alignment horizontal="center" vertical="center"/>
    </xf>
    <xf numFmtId="0" fontId="25" fillId="0" borderId="5" xfId="11" applyFont="1" applyBorder="1" applyAlignment="1">
      <alignment horizontal="center" vertical="center"/>
    </xf>
    <xf numFmtId="0" fontId="25" fillId="0" borderId="20" xfId="11" applyFont="1" applyBorder="1" applyAlignment="1">
      <alignment horizontal="center" vertical="center"/>
    </xf>
    <xf numFmtId="0" fontId="25" fillId="0" borderId="2" xfId="11" applyFont="1" applyBorder="1" applyAlignment="1">
      <alignment horizontal="center" vertical="center" wrapText="1"/>
    </xf>
    <xf numFmtId="0" fontId="25" fillId="0" borderId="6" xfId="11" applyFont="1" applyBorder="1" applyAlignment="1">
      <alignment horizontal="center" vertical="center" wrapText="1"/>
    </xf>
    <xf numFmtId="0" fontId="25" fillId="0" borderId="1" xfId="12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15" fillId="0" borderId="4" xfId="13" applyFont="1" applyFill="1" applyBorder="1" applyAlignment="1">
      <alignment horizontal="center" vertical="center"/>
    </xf>
    <xf numFmtId="0" fontId="15" fillId="0" borderId="5" xfId="13" applyFont="1" applyFill="1" applyBorder="1" applyAlignment="1">
      <alignment horizontal="center" vertical="center"/>
    </xf>
    <xf numFmtId="0" fontId="15" fillId="0" borderId="20" xfId="13" applyFont="1" applyFill="1" applyBorder="1" applyAlignment="1">
      <alignment horizontal="center" vertical="center"/>
    </xf>
    <xf numFmtId="0" fontId="52" fillId="0" borderId="0" xfId="13" applyFont="1" applyAlignment="1">
      <alignment horizontal="center" vertical="center"/>
    </xf>
    <xf numFmtId="0" fontId="37" fillId="0" borderId="2" xfId="7" applyFont="1" applyFill="1" applyBorder="1" applyAlignment="1">
      <alignment horizontal="center" vertical="center" wrapText="1"/>
    </xf>
    <xf numFmtId="0" fontId="37" fillId="0" borderId="3" xfId="7" applyFont="1" applyFill="1" applyBorder="1" applyAlignment="1">
      <alignment horizontal="center" vertical="center" wrapText="1"/>
    </xf>
    <xf numFmtId="0" fontId="37" fillId="0" borderId="6" xfId="7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 vertical="center" wrapText="1"/>
    </xf>
    <xf numFmtId="0" fontId="35" fillId="0" borderId="1" xfId="13" applyFont="1" applyBorder="1" applyAlignment="1">
      <alignment horizontal="center" vertical="center"/>
    </xf>
    <xf numFmtId="0" fontId="35" fillId="0" borderId="2" xfId="13" applyFont="1" applyFill="1" applyBorder="1" applyAlignment="1">
      <alignment horizontal="center" vertical="center"/>
    </xf>
    <xf numFmtId="0" fontId="35" fillId="0" borderId="6" xfId="13" applyFont="1" applyFill="1" applyBorder="1" applyAlignment="1">
      <alignment horizontal="center" vertical="center"/>
    </xf>
    <xf numFmtId="0" fontId="35" fillId="0" borderId="4" xfId="13" applyFont="1" applyBorder="1" applyAlignment="1">
      <alignment horizontal="center" vertical="center"/>
    </xf>
    <xf numFmtId="0" fontId="35" fillId="0" borderId="20" xfId="13" applyFont="1" applyBorder="1" applyAlignment="1">
      <alignment horizontal="center" vertical="center"/>
    </xf>
    <xf numFmtId="0" fontId="35" fillId="0" borderId="1" xfId="13" applyFont="1" applyFill="1" applyBorder="1" applyAlignment="1">
      <alignment horizontal="center" vertical="center" wrapText="1"/>
    </xf>
    <xf numFmtId="0" fontId="37" fillId="0" borderId="0" xfId="7" applyFont="1" applyFill="1" applyBorder="1" applyAlignment="1">
      <alignment horizontal="center" vertical="center" wrapText="1"/>
    </xf>
    <xf numFmtId="0" fontId="38" fillId="0" borderId="1" xfId="7" applyFont="1" applyFill="1" applyBorder="1" applyAlignment="1">
      <alignment horizontal="center" vertical="center" wrapText="1"/>
    </xf>
    <xf numFmtId="0" fontId="14" fillId="0" borderId="2" xfId="7" applyFont="1" applyFill="1" applyBorder="1" applyAlignment="1">
      <alignment horizontal="center" vertical="center" wrapText="1"/>
    </xf>
    <xf numFmtId="0" fontId="14" fillId="0" borderId="3" xfId="7" applyFont="1" applyFill="1" applyBorder="1" applyAlignment="1">
      <alignment horizontal="center" vertical="center" wrapText="1"/>
    </xf>
    <xf numFmtId="0" fontId="14" fillId="0" borderId="6" xfId="7" applyFont="1" applyFill="1" applyBorder="1" applyAlignment="1">
      <alignment horizontal="center" vertical="center" wrapText="1"/>
    </xf>
    <xf numFmtId="0" fontId="38" fillId="0" borderId="4" xfId="23" applyFont="1" applyFill="1" applyBorder="1" applyAlignment="1">
      <alignment horizontal="center" vertical="center" wrapText="1"/>
    </xf>
    <xf numFmtId="0" fontId="38" fillId="0" borderId="5" xfId="23" applyFont="1" applyFill="1" applyBorder="1" applyAlignment="1">
      <alignment horizontal="center" vertical="center" wrapText="1"/>
    </xf>
    <xf numFmtId="0" fontId="38" fillId="0" borderId="20" xfId="23" applyFont="1" applyFill="1" applyBorder="1" applyAlignment="1">
      <alignment horizontal="center" vertical="center" wrapText="1"/>
    </xf>
    <xf numFmtId="0" fontId="38" fillId="0" borderId="1" xfId="23" applyFont="1" applyFill="1" applyBorder="1" applyAlignment="1">
      <alignment horizontal="center" vertical="center" wrapText="1"/>
    </xf>
    <xf numFmtId="0" fontId="25" fillId="0" borderId="1" xfId="7" applyFont="1" applyFill="1" applyBorder="1" applyAlignment="1">
      <alignment horizontal="center" vertical="center" wrapText="1"/>
    </xf>
    <xf numFmtId="0" fontId="25" fillId="0" borderId="2" xfId="23" applyFont="1" applyFill="1" applyBorder="1" applyAlignment="1">
      <alignment horizontal="center" vertical="center" wrapText="1"/>
    </xf>
    <xf numFmtId="0" fontId="25" fillId="0" borderId="3" xfId="23" applyFont="1" applyFill="1" applyBorder="1" applyAlignment="1">
      <alignment horizontal="center" vertical="center" wrapText="1"/>
    </xf>
    <xf numFmtId="0" fontId="25" fillId="0" borderId="6" xfId="23" applyFont="1" applyFill="1" applyBorder="1" applyAlignment="1">
      <alignment horizontal="center" vertical="center" wrapText="1"/>
    </xf>
    <xf numFmtId="0" fontId="25" fillId="0" borderId="1" xfId="23" applyFont="1" applyFill="1" applyBorder="1" applyAlignment="1">
      <alignment horizontal="center" vertical="center" wrapText="1"/>
    </xf>
    <xf numFmtId="0" fontId="38" fillId="0" borderId="2" xfId="23" applyFont="1" applyFill="1" applyBorder="1" applyAlignment="1">
      <alignment horizontal="center" vertical="center" wrapText="1"/>
    </xf>
    <xf numFmtId="0" fontId="38" fillId="0" borderId="6" xfId="23" applyFont="1" applyFill="1" applyBorder="1" applyAlignment="1">
      <alignment horizontal="center" vertical="center" wrapText="1"/>
    </xf>
    <xf numFmtId="0" fontId="29" fillId="0" borderId="0" xfId="13" applyFont="1" applyFill="1" applyAlignment="1">
      <alignment horizontal="left" vertical="center" wrapText="1"/>
    </xf>
    <xf numFmtId="0" fontId="25" fillId="0" borderId="4" xfId="19" applyFont="1" applyFill="1" applyBorder="1" applyAlignment="1">
      <alignment horizontal="center" vertical="center" wrapText="1"/>
    </xf>
    <xf numFmtId="0" fontId="25" fillId="0" borderId="20" xfId="19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center" vertical="center"/>
    </xf>
    <xf numFmtId="0" fontId="14" fillId="0" borderId="3" xfId="8" applyFont="1" applyFill="1" applyBorder="1" applyAlignment="1">
      <alignment horizontal="center" vertical="center"/>
    </xf>
    <xf numFmtId="0" fontId="14" fillId="0" borderId="6" xfId="8" applyFont="1" applyFill="1" applyBorder="1" applyAlignment="1">
      <alignment horizontal="center" vertical="center"/>
    </xf>
    <xf numFmtId="49" fontId="25" fillId="0" borderId="2" xfId="9" applyNumberFormat="1" applyFont="1" applyFill="1" applyBorder="1" applyAlignment="1">
      <alignment horizontal="center" vertical="center"/>
    </xf>
    <xf numFmtId="49" fontId="25" fillId="0" borderId="3" xfId="9" applyNumberFormat="1" applyFont="1" applyFill="1" applyBorder="1" applyAlignment="1">
      <alignment horizontal="center" vertical="center"/>
    </xf>
    <xf numFmtId="49" fontId="25" fillId="0" borderId="6" xfId="9" applyNumberFormat="1" applyFont="1" applyFill="1" applyBorder="1" applyAlignment="1">
      <alignment horizontal="center" vertical="center"/>
    </xf>
    <xf numFmtId="0" fontId="37" fillId="0" borderId="37" xfId="19" applyFont="1" applyFill="1" applyBorder="1" applyAlignment="1">
      <alignment horizontal="center" vertical="center" wrapText="1"/>
    </xf>
    <xf numFmtId="0" fontId="37" fillId="0" borderId="0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horizontal="center" vertical="center" wrapText="1"/>
    </xf>
    <xf numFmtId="0" fontId="17" fillId="0" borderId="2" xfId="19" applyFont="1" applyFill="1" applyBorder="1" applyAlignment="1">
      <alignment horizontal="center" vertical="center" wrapText="1"/>
    </xf>
    <xf numFmtId="0" fontId="17" fillId="0" borderId="3" xfId="19" applyFont="1" applyFill="1" applyBorder="1" applyAlignment="1">
      <alignment horizontal="center" vertical="center" wrapText="1"/>
    </xf>
    <xf numFmtId="0" fontId="17" fillId="0" borderId="6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horizontal="center" vertical="top" wrapText="1"/>
    </xf>
    <xf numFmtId="0" fontId="38" fillId="0" borderId="3" xfId="19" applyFont="1" applyFill="1" applyBorder="1" applyAlignment="1">
      <alignment horizontal="center" vertical="center" wrapText="1"/>
    </xf>
    <xf numFmtId="0" fontId="38" fillId="0" borderId="6" xfId="19" applyFont="1" applyFill="1" applyBorder="1" applyAlignment="1">
      <alignment horizontal="center" vertical="center" wrapText="1"/>
    </xf>
    <xf numFmtId="0" fontId="25" fillId="0" borderId="1" xfId="19" applyFont="1" applyFill="1" applyBorder="1" applyAlignment="1">
      <alignment horizontal="center" vertical="center" wrapText="1"/>
    </xf>
    <xf numFmtId="0" fontId="25" fillId="0" borderId="5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38" fillId="0" borderId="2" xfId="21" applyFont="1" applyFill="1" applyBorder="1" applyAlignment="1">
      <alignment horizontal="center" vertical="center" wrapText="1"/>
    </xf>
    <xf numFmtId="0" fontId="38" fillId="0" borderId="6" xfId="21" applyFont="1" applyFill="1" applyBorder="1" applyAlignment="1">
      <alignment horizontal="center" vertical="center" wrapText="1"/>
    </xf>
    <xf numFmtId="0" fontId="38" fillId="0" borderId="2" xfId="19" applyFont="1" applyFill="1" applyBorder="1" applyAlignment="1">
      <alignment horizontal="center" vertical="center" wrapText="1"/>
    </xf>
    <xf numFmtId="0" fontId="37" fillId="0" borderId="37" xfId="19" applyFont="1" applyBorder="1" applyAlignment="1">
      <alignment horizontal="center" vertical="center" wrapText="1"/>
    </xf>
    <xf numFmtId="0" fontId="38" fillId="0" borderId="1" xfId="19" applyFont="1" applyBorder="1" applyAlignment="1">
      <alignment horizontal="center" vertical="center" wrapText="1"/>
    </xf>
    <xf numFmtId="0" fontId="17" fillId="0" borderId="2" xfId="19" applyFont="1" applyBorder="1" applyAlignment="1">
      <alignment horizontal="center" vertical="center" wrapText="1"/>
    </xf>
    <xf numFmtId="0" fontId="17" fillId="0" borderId="3" xfId="19" applyFont="1" applyBorder="1" applyAlignment="1">
      <alignment horizontal="center" vertical="center" wrapText="1"/>
    </xf>
    <xf numFmtId="0" fontId="38" fillId="0" borderId="4" xfId="19" applyFont="1" applyBorder="1" applyAlignment="1">
      <alignment horizontal="center" vertical="center" wrapText="1"/>
    </xf>
    <xf numFmtId="0" fontId="38" fillId="0" borderId="5" xfId="19" applyFont="1" applyBorder="1" applyAlignment="1">
      <alignment horizontal="center" vertical="center" wrapText="1"/>
    </xf>
    <xf numFmtId="0" fontId="38" fillId="0" borderId="20" xfId="19" applyFont="1" applyBorder="1" applyAlignment="1">
      <alignment horizontal="center" vertical="center" wrapText="1"/>
    </xf>
    <xf numFmtId="0" fontId="25" fillId="0" borderId="4" xfId="19" applyFont="1" applyBorder="1" applyAlignment="1">
      <alignment horizontal="center" vertical="center" wrapText="1"/>
    </xf>
    <xf numFmtId="0" fontId="25" fillId="0" borderId="5" xfId="19" applyFont="1" applyBorder="1" applyAlignment="1">
      <alignment horizontal="center" vertical="center" wrapText="1"/>
    </xf>
    <xf numFmtId="0" fontId="25" fillId="0" borderId="20" xfId="19" applyFont="1" applyBorder="1" applyAlignment="1">
      <alignment horizontal="center" vertical="center" wrapText="1"/>
    </xf>
    <xf numFmtId="0" fontId="38" fillId="0" borderId="2" xfId="19" applyFont="1" applyBorder="1" applyAlignment="1">
      <alignment horizontal="center" vertical="center" wrapText="1"/>
    </xf>
    <xf numFmtId="0" fontId="38" fillId="0" borderId="6" xfId="19" applyFont="1" applyBorder="1" applyAlignment="1">
      <alignment horizontal="center" vertical="center" wrapText="1"/>
    </xf>
    <xf numFmtId="0" fontId="25" fillId="0" borderId="1" xfId="20" applyFont="1" applyFill="1" applyBorder="1" applyAlignment="1">
      <alignment horizontal="center" vertical="center" wrapText="1"/>
    </xf>
    <xf numFmtId="0" fontId="16" fillId="0" borderId="1" xfId="8" applyFont="1" applyBorder="1" applyAlignment="1">
      <alignment horizontal="center" vertical="center"/>
    </xf>
    <xf numFmtId="4" fontId="16" fillId="0" borderId="4" xfId="8" applyNumberFormat="1" applyFont="1" applyBorder="1" applyAlignment="1">
      <alignment horizontal="center" vertical="center" wrapText="1"/>
    </xf>
    <xf numFmtId="4" fontId="16" fillId="0" borderId="5" xfId="8" applyNumberFormat="1" applyFont="1" applyBorder="1" applyAlignment="1">
      <alignment horizontal="center" vertical="center" wrapText="1"/>
    </xf>
    <xf numFmtId="4" fontId="16" fillId="0" borderId="20" xfId="8" applyNumberFormat="1" applyFont="1" applyBorder="1" applyAlignment="1">
      <alignment horizontal="center" vertical="center" wrapText="1"/>
    </xf>
    <xf numFmtId="0" fontId="37" fillId="0" borderId="37" xfId="18" applyFont="1" applyFill="1" applyBorder="1" applyAlignment="1">
      <alignment horizontal="center" vertical="center" wrapText="1"/>
    </xf>
    <xf numFmtId="0" fontId="25" fillId="0" borderId="3" xfId="19" applyFont="1" applyFill="1" applyBorder="1" applyAlignment="1">
      <alignment horizontal="center" vertical="center" wrapText="1"/>
    </xf>
    <xf numFmtId="0" fontId="54" fillId="0" borderId="1" xfId="13" applyFont="1" applyFill="1" applyBorder="1" applyAlignment="1">
      <alignment horizontal="center" vertical="center"/>
    </xf>
    <xf numFmtId="4" fontId="54" fillId="0" borderId="4" xfId="8" applyNumberFormat="1" applyFont="1" applyFill="1" applyBorder="1" applyAlignment="1">
      <alignment horizontal="center" vertical="center" wrapText="1"/>
    </xf>
    <xf numFmtId="4" fontId="54" fillId="0" borderId="5" xfId="8" applyNumberFormat="1" applyFont="1" applyFill="1" applyBorder="1" applyAlignment="1">
      <alignment horizontal="center" vertical="center" wrapText="1"/>
    </xf>
    <xf numFmtId="0" fontId="50" fillId="2" borderId="2" xfId="13" applyFont="1" applyFill="1" applyBorder="1" applyAlignment="1">
      <alignment horizontal="center" vertical="center"/>
    </xf>
    <xf numFmtId="0" fontId="50" fillId="2" borderId="3" xfId="13" applyFont="1" applyFill="1" applyBorder="1" applyAlignment="1">
      <alignment horizontal="center" vertical="center"/>
    </xf>
    <xf numFmtId="0" fontId="50" fillId="2" borderId="6" xfId="13" applyFont="1" applyFill="1" applyBorder="1" applyAlignment="1">
      <alignment horizontal="center" vertical="center"/>
    </xf>
    <xf numFmtId="49" fontId="11" fillId="2" borderId="2" xfId="3" applyNumberFormat="1" applyFont="1" applyFill="1" applyBorder="1" applyAlignment="1">
      <alignment horizontal="center" vertical="center"/>
    </xf>
    <xf numFmtId="49" fontId="11" fillId="2" borderId="3" xfId="3" applyNumberFormat="1" applyFont="1" applyFill="1" applyBorder="1" applyAlignment="1">
      <alignment horizontal="center" vertical="center"/>
    </xf>
    <xf numFmtId="49" fontId="11" fillId="2" borderId="6" xfId="3" applyNumberFormat="1" applyFont="1" applyFill="1" applyBorder="1" applyAlignment="1">
      <alignment horizontal="center" vertical="center"/>
    </xf>
    <xf numFmtId="0" fontId="11" fillId="0" borderId="0" xfId="16" applyFont="1" applyFill="1" applyAlignment="1">
      <alignment horizontal="center" vertical="center" wrapText="1"/>
    </xf>
    <xf numFmtId="0" fontId="50" fillId="0" borderId="2" xfId="13" applyFont="1" applyFill="1" applyBorder="1" applyAlignment="1">
      <alignment horizontal="center" vertical="center"/>
    </xf>
    <xf numFmtId="0" fontId="50" fillId="0" borderId="3" xfId="13" applyFont="1" applyFill="1" applyBorder="1" applyAlignment="1">
      <alignment horizontal="center" vertical="center"/>
    </xf>
    <xf numFmtId="0" fontId="50" fillId="0" borderId="6" xfId="13" applyFont="1" applyFill="1" applyBorder="1" applyAlignment="1">
      <alignment horizontal="center" vertical="center"/>
    </xf>
    <xf numFmtId="0" fontId="50" fillId="0" borderId="2" xfId="13" applyFont="1" applyFill="1" applyBorder="1" applyAlignment="1">
      <alignment horizontal="center" vertical="center" wrapText="1"/>
    </xf>
    <xf numFmtId="0" fontId="50" fillId="0" borderId="3" xfId="13" applyFont="1" applyFill="1" applyBorder="1" applyAlignment="1">
      <alignment horizontal="center" vertical="center" wrapText="1"/>
    </xf>
    <xf numFmtId="0" fontId="50" fillId="0" borderId="6" xfId="13" applyFont="1" applyFill="1" applyBorder="1" applyAlignment="1">
      <alignment horizontal="center" vertical="center" wrapText="1"/>
    </xf>
    <xf numFmtId="0" fontId="11" fillId="0" borderId="1" xfId="13" applyFont="1" applyFill="1" applyBorder="1" applyAlignment="1">
      <alignment horizontal="center" vertical="center" wrapText="1"/>
    </xf>
    <xf numFmtId="2" fontId="11" fillId="0" borderId="1" xfId="16" applyNumberFormat="1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0" fontId="11" fillId="0" borderId="6" xfId="16" applyFont="1" applyFill="1" applyBorder="1" applyAlignment="1">
      <alignment horizontal="center" vertical="center" wrapText="1"/>
    </xf>
    <xf numFmtId="0" fontId="11" fillId="0" borderId="1" xfId="17" applyFont="1" applyFill="1" applyBorder="1" applyAlignment="1">
      <alignment horizontal="center" vertical="center" wrapText="1"/>
    </xf>
    <xf numFmtId="0" fontId="52" fillId="2" borderId="0" xfId="15" applyFont="1" applyFill="1" applyAlignment="1">
      <alignment horizontal="center"/>
    </xf>
    <xf numFmtId="0" fontId="25" fillId="2" borderId="1" xfId="15" applyFont="1" applyFill="1" applyBorder="1" applyAlignment="1">
      <alignment horizontal="center" vertical="center" wrapText="1"/>
    </xf>
    <xf numFmtId="0" fontId="51" fillId="2" borderId="4" xfId="15" applyFill="1" applyBorder="1" applyAlignment="1">
      <alignment horizontal="center"/>
    </xf>
    <xf numFmtId="0" fontId="51" fillId="2" borderId="5" xfId="15" applyFill="1" applyBorder="1" applyAlignment="1">
      <alignment horizontal="center"/>
    </xf>
    <xf numFmtId="0" fontId="51" fillId="2" borderId="20" xfId="15" applyFill="1" applyBorder="1" applyAlignment="1">
      <alignment horizontal="center"/>
    </xf>
    <xf numFmtId="0" fontId="25" fillId="2" borderId="4" xfId="15" applyFont="1" applyFill="1" applyBorder="1" applyAlignment="1">
      <alignment horizontal="center" vertical="center"/>
    </xf>
    <xf numFmtId="0" fontId="25" fillId="2" borderId="5" xfId="15" applyFont="1" applyFill="1" applyBorder="1" applyAlignment="1">
      <alignment horizontal="center" vertical="center"/>
    </xf>
    <xf numFmtId="0" fontId="25" fillId="2" borderId="20" xfId="15" applyFont="1" applyFill="1" applyBorder="1" applyAlignment="1">
      <alignment horizontal="center" vertical="center"/>
    </xf>
    <xf numFmtId="0" fontId="25" fillId="2" borderId="2" xfId="15" applyFont="1" applyFill="1" applyBorder="1" applyAlignment="1">
      <alignment horizontal="center" vertical="center" wrapText="1"/>
    </xf>
    <xf numFmtId="0" fontId="25" fillId="2" borderId="6" xfId="15" applyFont="1" applyFill="1" applyBorder="1" applyAlignment="1">
      <alignment horizontal="center" vertical="center" wrapText="1"/>
    </xf>
    <xf numFmtId="0" fontId="17" fillId="2" borderId="1" xfId="8" applyFont="1" applyFill="1" applyBorder="1" applyAlignment="1">
      <alignment horizontal="center" vertical="center"/>
    </xf>
    <xf numFmtId="0" fontId="35" fillId="0" borderId="0" xfId="13" applyFont="1" applyFill="1" applyAlignment="1">
      <alignment horizontal="center" vertical="center" wrapText="1"/>
    </xf>
    <xf numFmtId="0" fontId="5" fillId="0" borderId="2" xfId="13" applyFont="1" applyFill="1" applyBorder="1" applyAlignment="1">
      <alignment horizontal="center" vertical="center" wrapText="1"/>
    </xf>
    <xf numFmtId="0" fontId="5" fillId="0" borderId="3" xfId="13" applyFont="1" applyFill="1" applyBorder="1" applyAlignment="1">
      <alignment horizontal="center" vertical="center" wrapText="1"/>
    </xf>
    <xf numFmtId="0" fontId="5" fillId="0" borderId="6" xfId="13" applyFont="1" applyFill="1" applyBorder="1" applyAlignment="1">
      <alignment horizontal="center" vertical="center" wrapText="1"/>
    </xf>
    <xf numFmtId="0" fontId="5" fillId="0" borderId="4" xfId="13" applyFont="1" applyFill="1" applyBorder="1" applyAlignment="1">
      <alignment horizontal="center" vertical="center" wrapText="1"/>
    </xf>
    <xf numFmtId="0" fontId="5" fillId="0" borderId="5" xfId="13" applyFont="1" applyFill="1" applyBorder="1" applyAlignment="1">
      <alignment horizontal="center" vertical="center" wrapText="1"/>
    </xf>
    <xf numFmtId="0" fontId="5" fillId="0" borderId="20" xfId="13" applyFont="1" applyFill="1" applyBorder="1" applyAlignment="1">
      <alignment horizontal="center" vertical="center" wrapText="1"/>
    </xf>
    <xf numFmtId="0" fontId="41" fillId="0" borderId="1" xfId="8" applyFont="1" applyFill="1" applyBorder="1" applyAlignment="1">
      <alignment horizontal="center" vertical="center"/>
    </xf>
    <xf numFmtId="4" fontId="41" fillId="0" borderId="4" xfId="8" applyNumberFormat="1" applyFont="1" applyFill="1" applyBorder="1" applyAlignment="1">
      <alignment horizontal="center" vertical="center" wrapText="1"/>
    </xf>
    <xf numFmtId="4" fontId="41" fillId="0" borderId="5" xfId="8" applyNumberFormat="1" applyFont="1" applyFill="1" applyBorder="1" applyAlignment="1">
      <alignment horizontal="center" vertical="center" wrapText="1"/>
    </xf>
    <xf numFmtId="4" fontId="41" fillId="0" borderId="20" xfId="8" applyNumberFormat="1" applyFont="1" applyFill="1" applyBorder="1" applyAlignment="1">
      <alignment horizontal="center" vertical="center" wrapText="1"/>
    </xf>
    <xf numFmtId="0" fontId="44" fillId="0" borderId="2" xfId="8" applyFont="1" applyFill="1" applyBorder="1" applyAlignment="1">
      <alignment horizontal="center" vertical="center"/>
    </xf>
    <xf numFmtId="0" fontId="44" fillId="0" borderId="3" xfId="8" applyFont="1" applyFill="1" applyBorder="1" applyAlignment="1">
      <alignment horizontal="center" vertical="center"/>
    </xf>
    <xf numFmtId="0" fontId="44" fillId="0" borderId="6" xfId="8" applyFont="1" applyFill="1" applyBorder="1" applyAlignment="1">
      <alignment horizontal="center" vertical="center"/>
    </xf>
    <xf numFmtId="49" fontId="45" fillId="0" borderId="2" xfId="9" applyNumberFormat="1" applyFont="1" applyFill="1" applyBorder="1" applyAlignment="1">
      <alignment horizontal="center" vertical="center"/>
    </xf>
    <xf numFmtId="49" fontId="45" fillId="0" borderId="3" xfId="9" applyNumberFormat="1" applyFont="1" applyFill="1" applyBorder="1" applyAlignment="1">
      <alignment horizontal="center" vertical="center"/>
    </xf>
    <xf numFmtId="49" fontId="45" fillId="0" borderId="6" xfId="9" applyNumberFormat="1" applyFont="1" applyFill="1" applyBorder="1" applyAlignment="1">
      <alignment horizontal="center" vertical="center"/>
    </xf>
    <xf numFmtId="0" fontId="37" fillId="0" borderId="0" xfId="39" applyFont="1" applyFill="1" applyBorder="1" applyAlignment="1">
      <alignment horizontal="center" vertical="center" wrapText="1"/>
    </xf>
    <xf numFmtId="0" fontId="38" fillId="0" borderId="2" xfId="39" applyFont="1" applyFill="1" applyBorder="1" applyAlignment="1">
      <alignment horizontal="center" vertical="center" wrapText="1"/>
    </xf>
    <xf numFmtId="0" fontId="38" fillId="0" borderId="3" xfId="39" applyFont="1" applyFill="1" applyBorder="1" applyAlignment="1">
      <alignment horizontal="center" vertical="center" wrapText="1"/>
    </xf>
    <xf numFmtId="0" fontId="38" fillId="0" borderId="6" xfId="39" applyFont="1" applyFill="1" applyBorder="1" applyAlignment="1">
      <alignment horizontal="center" vertical="center" wrapText="1"/>
    </xf>
    <xf numFmtId="0" fontId="14" fillId="0" borderId="2" xfId="39" applyFont="1" applyFill="1" applyBorder="1" applyAlignment="1">
      <alignment horizontal="center" vertical="center" wrapText="1"/>
    </xf>
    <xf numFmtId="0" fontId="14" fillId="0" borderId="3" xfId="39" applyFont="1" applyFill="1" applyBorder="1" applyAlignment="1">
      <alignment horizontal="center" vertical="center" wrapText="1"/>
    </xf>
    <xf numFmtId="0" fontId="14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 wrapText="1"/>
    </xf>
    <xf numFmtId="0" fontId="25" fillId="0" borderId="2" xfId="39" applyFont="1" applyFill="1" applyBorder="1" applyAlignment="1">
      <alignment horizontal="center" vertical="center" wrapText="1"/>
    </xf>
    <xf numFmtId="0" fontId="25" fillId="0" borderId="3" xfId="39" applyFont="1" applyFill="1" applyBorder="1" applyAlignment="1">
      <alignment horizontal="center" vertical="center" wrapText="1"/>
    </xf>
    <xf numFmtId="0" fontId="25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/>
    </xf>
    <xf numFmtId="0" fontId="25" fillId="0" borderId="4" xfId="39" applyFont="1" applyFill="1" applyBorder="1" applyAlignment="1">
      <alignment horizontal="center" vertical="center" wrapText="1"/>
    </xf>
    <xf numFmtId="0" fontId="25" fillId="0" borderId="20" xfId="39" applyFont="1" applyFill="1" applyBorder="1" applyAlignment="1">
      <alignment horizontal="center" vertical="center" wrapText="1"/>
    </xf>
    <xf numFmtId="0" fontId="35" fillId="0" borderId="0" xfId="2" applyFont="1" applyBorder="1" applyAlignment="1">
      <alignment horizontal="center" wrapText="1"/>
    </xf>
    <xf numFmtId="0" fontId="45" fillId="0" borderId="1" xfId="2" applyFont="1" applyBorder="1" applyAlignment="1">
      <alignment horizontal="center" vertical="center" wrapText="1"/>
    </xf>
    <xf numFmtId="49" fontId="45" fillId="0" borderId="1" xfId="2" applyNumberFormat="1" applyFont="1" applyBorder="1" applyAlignment="1">
      <alignment horizontal="center" vertical="center" wrapText="1"/>
    </xf>
    <xf numFmtId="0" fontId="45" fillId="0" borderId="1" xfId="2" applyFont="1" applyBorder="1" applyAlignment="1">
      <alignment vertical="center" wrapText="1"/>
    </xf>
    <xf numFmtId="3" fontId="19" fillId="2" borderId="0" xfId="4" applyNumberFormat="1" applyFont="1" applyFill="1" applyBorder="1" applyAlignment="1">
      <alignment horizontal="center" vertical="center" wrapText="1"/>
    </xf>
    <xf numFmtId="0" fontId="25" fillId="3" borderId="1" xfId="4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center" vertical="center" wrapText="1"/>
    </xf>
    <xf numFmtId="3" fontId="25" fillId="2" borderId="1" xfId="4" applyNumberFormat="1" applyFont="1" applyFill="1" applyBorder="1" applyAlignment="1">
      <alignment horizontal="center" vertical="center" wrapText="1"/>
    </xf>
    <xf numFmtId="3" fontId="25" fillId="2" borderId="2" xfId="4" applyNumberFormat="1" applyFont="1" applyFill="1" applyBorder="1" applyAlignment="1">
      <alignment horizontal="center" vertical="center" wrapText="1"/>
    </xf>
    <xf numFmtId="3" fontId="25" fillId="2" borderId="3" xfId="4" applyNumberFormat="1" applyFont="1" applyFill="1" applyBorder="1" applyAlignment="1">
      <alignment horizontal="center" vertical="center" wrapText="1"/>
    </xf>
    <xf numFmtId="3" fontId="25" fillId="2" borderId="6" xfId="4" applyNumberFormat="1" applyFont="1" applyFill="1" applyBorder="1" applyAlignment="1">
      <alignment horizontal="center" vertical="center" wrapText="1"/>
    </xf>
    <xf numFmtId="0" fontId="25" fillId="2" borderId="2" xfId="4" applyFont="1" applyFill="1" applyBorder="1" applyAlignment="1">
      <alignment horizontal="center" vertical="center"/>
    </xf>
    <xf numFmtId="0" fontId="25" fillId="2" borderId="3" xfId="4" applyFont="1" applyFill="1" applyBorder="1" applyAlignment="1">
      <alignment horizontal="center" vertical="center"/>
    </xf>
    <xf numFmtId="0" fontId="25" fillId="2" borderId="6" xfId="4" applyFont="1" applyFill="1" applyBorder="1" applyAlignment="1">
      <alignment horizontal="center" vertical="center"/>
    </xf>
    <xf numFmtId="49" fontId="25" fillId="2" borderId="2" xfId="3" applyNumberFormat="1" applyFont="1" applyFill="1" applyBorder="1" applyAlignment="1">
      <alignment horizontal="center" vertical="center"/>
    </xf>
    <xf numFmtId="49" fontId="25" fillId="2" borderId="3" xfId="3" applyNumberFormat="1" applyFont="1" applyFill="1" applyBorder="1" applyAlignment="1">
      <alignment horizontal="center" vertical="center"/>
    </xf>
    <xf numFmtId="49" fontId="25" fillId="2" borderId="6" xfId="3" applyNumberFormat="1" applyFont="1" applyFill="1" applyBorder="1" applyAlignment="1">
      <alignment horizontal="center" vertical="center"/>
    </xf>
    <xf numFmtId="3" fontId="25" fillId="2" borderId="4" xfId="4" applyNumberFormat="1" applyFont="1" applyFill="1" applyBorder="1" applyAlignment="1">
      <alignment horizontal="center" vertical="center" wrapText="1"/>
    </xf>
    <xf numFmtId="3" fontId="25" fillId="2" borderId="5" xfId="4" applyNumberFormat="1" applyFont="1" applyFill="1" applyBorder="1" applyAlignment="1">
      <alignment horizontal="center" vertical="center" wrapText="1"/>
    </xf>
    <xf numFmtId="3" fontId="25" fillId="2" borderId="20" xfId="4" applyNumberFormat="1" applyFont="1" applyFill="1" applyBorder="1" applyAlignment="1">
      <alignment horizontal="center" vertical="center" wrapText="1"/>
    </xf>
    <xf numFmtId="0" fontId="56" fillId="8" borderId="1" xfId="4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4" fillId="2" borderId="0" xfId="1" applyFont="1" applyFill="1" applyAlignment="1" applyProtection="1">
      <alignment horizontal="center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26" fillId="0" borderId="13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4" xfId="0" applyFont="1" applyFill="1" applyBorder="1" applyAlignment="1">
      <alignment horizontal="left" vertical="center"/>
    </xf>
    <xf numFmtId="4" fontId="26" fillId="0" borderId="13" xfId="0" applyNumberFormat="1" applyFont="1" applyFill="1" applyBorder="1" applyAlignment="1">
      <alignment horizontal="left" vertical="center" wrapText="1"/>
    </xf>
    <xf numFmtId="4" fontId="26" fillId="0" borderId="1" xfId="0" applyNumberFormat="1" applyFont="1" applyFill="1" applyBorder="1" applyAlignment="1">
      <alignment horizontal="left" vertical="center" wrapText="1"/>
    </xf>
    <xf numFmtId="4" fontId="26" fillId="0" borderId="14" xfId="0" applyNumberFormat="1" applyFont="1" applyFill="1" applyBorder="1" applyAlignment="1">
      <alignment horizontal="left" vertical="center" wrapText="1"/>
    </xf>
    <xf numFmtId="4" fontId="26" fillId="0" borderId="4" xfId="0" applyNumberFormat="1" applyFont="1" applyFill="1" applyBorder="1" applyAlignment="1">
      <alignment horizontal="left" vertical="center" wrapText="1"/>
    </xf>
    <xf numFmtId="0" fontId="17" fillId="2" borderId="13" xfId="0" applyFont="1" applyFill="1" applyBorder="1" applyAlignment="1">
      <alignment horizontal="center" vertical="center"/>
    </xf>
    <xf numFmtId="49" fontId="17" fillId="0" borderId="2" xfId="3" applyNumberFormat="1" applyFont="1" applyFill="1" applyBorder="1" applyAlignment="1">
      <alignment horizontal="center" vertical="center"/>
    </xf>
    <xf numFmtId="49" fontId="17" fillId="0" borderId="3" xfId="3" applyNumberFormat="1" applyFont="1" applyFill="1" applyBorder="1" applyAlignment="1">
      <alignment horizontal="center" vertical="center"/>
    </xf>
    <xf numFmtId="49" fontId="17" fillId="0" borderId="6" xfId="3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3" fontId="14" fillId="0" borderId="10" xfId="3" applyNumberFormat="1" applyFont="1" applyFill="1" applyBorder="1" applyAlignment="1">
      <alignment horizontal="center" vertical="center" wrapText="1"/>
    </xf>
    <xf numFmtId="3" fontId="14" fillId="0" borderId="11" xfId="0" applyNumberFormat="1" applyFont="1" applyFill="1" applyBorder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60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left" vertical="center"/>
    </xf>
    <xf numFmtId="0" fontId="26" fillId="0" borderId="16" xfId="0" applyFont="1" applyFill="1" applyBorder="1" applyAlignment="1">
      <alignment horizontal="left" vertical="center"/>
    </xf>
    <xf numFmtId="0" fontId="26" fillId="0" borderId="6" xfId="0" applyFont="1" applyFill="1" applyBorder="1" applyAlignment="1">
      <alignment horizontal="left" vertical="center"/>
    </xf>
    <xf numFmtId="0" fontId="26" fillId="0" borderId="27" xfId="0" applyFont="1" applyFill="1" applyBorder="1" applyAlignment="1">
      <alignment horizontal="lef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3" fontId="25" fillId="0" borderId="7" xfId="0" applyNumberFormat="1" applyFont="1" applyFill="1" applyBorder="1" applyAlignment="1">
      <alignment horizontal="center" vertical="center" wrapText="1"/>
    </xf>
    <xf numFmtId="3" fontId="24" fillId="0" borderId="12" xfId="0" applyNumberFormat="1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3" fontId="25" fillId="0" borderId="26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3" fontId="33" fillId="0" borderId="12" xfId="0" applyNumberFormat="1" applyFont="1" applyFill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3" fontId="14" fillId="0" borderId="26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3" fontId="25" fillId="0" borderId="8" xfId="0" applyNumberFormat="1" applyFont="1" applyFill="1" applyBorder="1" applyAlignment="1">
      <alignment horizontal="center" vertical="center" wrapText="1"/>
    </xf>
    <xf numFmtId="3" fontId="25" fillId="0" borderId="12" xfId="0" applyNumberFormat="1" applyFont="1" applyFill="1" applyBorder="1" applyAlignment="1">
      <alignment horizontal="center" vertical="center" wrapText="1"/>
    </xf>
    <xf numFmtId="3" fontId="25" fillId="0" borderId="11" xfId="0" applyNumberFormat="1" applyFont="1" applyFill="1" applyBorder="1" applyAlignment="1">
      <alignment horizontal="center" vertical="center" wrapText="1"/>
    </xf>
    <xf numFmtId="0" fontId="24" fillId="0" borderId="40" xfId="0" applyFont="1" applyFill="1" applyBorder="1" applyAlignment="1">
      <alignment horizontal="center" vertical="center" wrapText="1"/>
    </xf>
    <xf numFmtId="0" fontId="54" fillId="2" borderId="0" xfId="28" applyFont="1" applyFill="1" applyAlignment="1">
      <alignment horizontal="center" wrapText="1"/>
    </xf>
    <xf numFmtId="0" fontId="50" fillId="2" borderId="1" xfId="28" applyFont="1" applyFill="1" applyBorder="1" applyAlignment="1">
      <alignment horizontal="center" vertical="center" wrapText="1"/>
    </xf>
    <xf numFmtId="49" fontId="50" fillId="2" borderId="2" xfId="28" applyNumberFormat="1" applyFont="1" applyFill="1" applyBorder="1" applyAlignment="1">
      <alignment horizontal="center" vertical="center" wrapText="1"/>
    </xf>
    <xf numFmtId="49" fontId="50" fillId="2" borderId="6" xfId="28" applyNumberFormat="1" applyFont="1" applyFill="1" applyBorder="1" applyAlignment="1">
      <alignment horizontal="center" vertical="center" wrapText="1"/>
    </xf>
    <xf numFmtId="2" fontId="50" fillId="2" borderId="4" xfId="28" applyNumberFormat="1" applyFont="1" applyFill="1" applyBorder="1" applyAlignment="1">
      <alignment horizontal="center" vertical="center"/>
    </xf>
    <xf numFmtId="2" fontId="50" fillId="2" borderId="5" xfId="28" applyNumberFormat="1" applyFont="1" applyFill="1" applyBorder="1" applyAlignment="1">
      <alignment horizontal="center" vertical="center"/>
    </xf>
    <xf numFmtId="2" fontId="50" fillId="2" borderId="20" xfId="28" applyNumberFormat="1" applyFont="1" applyFill="1" applyBorder="1" applyAlignment="1">
      <alignment horizontal="center" vertical="center"/>
    </xf>
    <xf numFmtId="3" fontId="50" fillId="2" borderId="4" xfId="28" applyNumberFormat="1" applyFont="1" applyFill="1" applyBorder="1" applyAlignment="1">
      <alignment horizontal="center" vertical="center"/>
    </xf>
    <xf numFmtId="3" fontId="50" fillId="2" borderId="5" xfId="28" applyNumberFormat="1" applyFont="1" applyFill="1" applyBorder="1" applyAlignment="1">
      <alignment horizontal="center" vertical="center"/>
    </xf>
    <xf numFmtId="3" fontId="50" fillId="2" borderId="20" xfId="28" applyNumberFormat="1" applyFont="1" applyFill="1" applyBorder="1" applyAlignment="1">
      <alignment horizontal="center" vertical="center"/>
    </xf>
    <xf numFmtId="3" fontId="58" fillId="2" borderId="0" xfId="28" applyNumberFormat="1" applyFont="1" applyFill="1" applyAlignment="1">
      <alignment horizontal="center" vertical="center" wrapText="1"/>
    </xf>
    <xf numFmtId="0" fontId="59" fillId="2" borderId="0" xfId="28" applyFont="1" applyFill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3" fontId="17" fillId="2" borderId="1" xfId="10" applyNumberFormat="1" applyFont="1" applyFill="1" applyBorder="1" applyAlignment="1">
      <alignment horizontal="center" vertical="center" wrapText="1"/>
    </xf>
    <xf numFmtId="0" fontId="66" fillId="2" borderId="34" xfId="31" applyFont="1" applyFill="1" applyBorder="1" applyAlignment="1">
      <alignment horizontal="center" vertical="center" wrapText="1"/>
    </xf>
    <xf numFmtId="0" fontId="66" fillId="2" borderId="28" xfId="31" applyFont="1" applyFill="1" applyBorder="1" applyAlignment="1">
      <alignment horizontal="center" vertical="center" wrapText="1"/>
    </xf>
    <xf numFmtId="0" fontId="68" fillId="2" borderId="3" xfId="31" applyFont="1" applyFill="1" applyBorder="1" applyAlignment="1">
      <alignment horizontal="center" vertical="center" wrapText="1"/>
    </xf>
    <xf numFmtId="0" fontId="68" fillId="2" borderId="6" xfId="31" applyFont="1" applyFill="1" applyBorder="1" applyAlignment="1">
      <alignment horizontal="center" vertical="center" wrapText="1"/>
    </xf>
    <xf numFmtId="0" fontId="69" fillId="2" borderId="3" xfId="31" applyFont="1" applyFill="1" applyBorder="1" applyAlignment="1">
      <alignment horizontal="center" vertical="center" wrapText="1"/>
    </xf>
    <xf numFmtId="0" fontId="69" fillId="2" borderId="6" xfId="31" applyFont="1" applyFill="1" applyBorder="1" applyAlignment="1">
      <alignment horizontal="center" vertical="center" wrapText="1"/>
    </xf>
    <xf numFmtId="4" fontId="68" fillId="2" borderId="3" xfId="31" applyNumberFormat="1" applyFont="1" applyFill="1" applyBorder="1" applyAlignment="1">
      <alignment horizontal="center" vertical="center" wrapText="1"/>
    </xf>
    <xf numFmtId="4" fontId="68" fillId="2" borderId="6" xfId="31" applyNumberFormat="1" applyFont="1" applyFill="1" applyBorder="1" applyAlignment="1">
      <alignment horizontal="center" vertical="center" wrapText="1"/>
    </xf>
    <xf numFmtId="0" fontId="25" fillId="2" borderId="3" xfId="31" applyFont="1" applyFill="1" applyBorder="1" applyAlignment="1">
      <alignment horizontal="center" vertical="center" wrapText="1"/>
    </xf>
    <xf numFmtId="0" fontId="25" fillId="2" borderId="6" xfId="31" applyFont="1" applyFill="1" applyBorder="1" applyAlignment="1">
      <alignment horizontal="center" vertical="center" wrapText="1"/>
    </xf>
    <xf numFmtId="0" fontId="66" fillId="2" borderId="19" xfId="31" applyFont="1" applyFill="1" applyBorder="1" applyAlignment="1">
      <alignment horizontal="center" vertical="center" wrapText="1"/>
    </xf>
    <xf numFmtId="0" fontId="68" fillId="2" borderId="18" xfId="31" applyFont="1" applyFill="1" applyBorder="1" applyAlignment="1">
      <alignment horizontal="center" vertical="center" wrapText="1"/>
    </xf>
    <xf numFmtId="0" fontId="68" fillId="2" borderId="16" xfId="31" applyFont="1" applyFill="1" applyBorder="1" applyAlignment="1">
      <alignment horizontal="center" vertical="center" wrapText="1"/>
    </xf>
    <xf numFmtId="0" fontId="62" fillId="2" borderId="0" xfId="31" applyFont="1" applyFill="1" applyAlignment="1">
      <alignment horizontal="center" vertical="center"/>
    </xf>
    <xf numFmtId="0" fontId="63" fillId="2" borderId="62" xfId="31" applyFont="1" applyFill="1" applyBorder="1" applyAlignment="1">
      <alignment horizontal="right" vertical="center"/>
    </xf>
    <xf numFmtId="0" fontId="65" fillId="2" borderId="7" xfId="31" applyFont="1" applyFill="1" applyBorder="1" applyAlignment="1">
      <alignment horizontal="center" vertical="center" wrapText="1"/>
    </xf>
    <xf numFmtId="0" fontId="65" fillId="2" borderId="13" xfId="31" applyFont="1" applyFill="1" applyBorder="1" applyAlignment="1">
      <alignment horizontal="center" vertical="center" wrapText="1"/>
    </xf>
    <xf numFmtId="0" fontId="65" fillId="2" borderId="8" xfId="31" applyFont="1" applyFill="1" applyBorder="1" applyAlignment="1">
      <alignment horizontal="center" vertical="center" wrapText="1"/>
    </xf>
    <xf numFmtId="0" fontId="65" fillId="2" borderId="1" xfId="31" applyFont="1" applyFill="1" applyBorder="1" applyAlignment="1">
      <alignment horizontal="center" vertical="center" wrapText="1"/>
    </xf>
    <xf numFmtId="0" fontId="23" fillId="2" borderId="12" xfId="31" applyFont="1" applyFill="1" applyBorder="1" applyAlignment="1">
      <alignment horizontal="center" vertical="center"/>
    </xf>
    <xf numFmtId="0" fontId="23" fillId="2" borderId="11" xfId="31" applyFont="1" applyFill="1" applyBorder="1" applyAlignment="1">
      <alignment horizontal="center" vertical="center"/>
    </xf>
    <xf numFmtId="0" fontId="23" fillId="2" borderId="40" xfId="31" applyFont="1" applyFill="1" applyBorder="1" applyAlignment="1">
      <alignment horizontal="center" vertical="center"/>
    </xf>
    <xf numFmtId="0" fontId="66" fillId="2" borderId="10" xfId="31" applyFont="1" applyFill="1" applyBorder="1" applyAlignment="1">
      <alignment horizontal="center" vertical="center" wrapText="1"/>
    </xf>
    <xf numFmtId="0" fontId="66" fillId="2" borderId="11" xfId="31" applyFont="1" applyFill="1" applyBorder="1" applyAlignment="1">
      <alignment horizontal="center" vertical="center" wrapText="1"/>
    </xf>
    <xf numFmtId="0" fontId="66" fillId="2" borderId="40" xfId="31" applyFont="1" applyFill="1" applyBorder="1" applyAlignment="1">
      <alignment horizontal="center" vertical="center" wrapText="1"/>
    </xf>
    <xf numFmtId="0" fontId="66" fillId="2" borderId="7" xfId="31" applyFont="1" applyFill="1" applyBorder="1" applyAlignment="1">
      <alignment horizontal="center" vertical="center" wrapText="1"/>
    </xf>
    <xf numFmtId="0" fontId="66" fillId="2" borderId="8" xfId="31" applyFont="1" applyFill="1" applyBorder="1" applyAlignment="1">
      <alignment horizontal="center" vertical="center" wrapText="1"/>
    </xf>
    <xf numFmtId="0" fontId="66" fillId="2" borderId="12" xfId="31" applyFont="1" applyFill="1" applyBorder="1" applyAlignment="1">
      <alignment horizontal="center" vertical="center" wrapText="1"/>
    </xf>
    <xf numFmtId="0" fontId="66" fillId="2" borderId="9" xfId="31" applyFont="1" applyFill="1" applyBorder="1" applyAlignment="1">
      <alignment horizontal="center" vertical="center" wrapText="1"/>
    </xf>
    <xf numFmtId="0" fontId="22" fillId="2" borderId="39" xfId="31" applyFont="1" applyFill="1" applyBorder="1" applyAlignment="1">
      <alignment horizontal="center" vertical="center" wrapText="1"/>
    </xf>
    <xf numFmtId="0" fontId="22" fillId="2" borderId="29" xfId="31" applyFont="1" applyFill="1" applyBorder="1" applyAlignment="1">
      <alignment horizontal="center" vertical="center" wrapText="1"/>
    </xf>
    <xf numFmtId="0" fontId="65" fillId="2" borderId="2" xfId="31" applyFont="1" applyFill="1" applyBorder="1" applyAlignment="1">
      <alignment horizontal="center" vertical="center" wrapText="1"/>
    </xf>
    <xf numFmtId="0" fontId="65" fillId="2" borderId="6" xfId="31" applyFont="1" applyFill="1" applyBorder="1" applyAlignment="1">
      <alignment horizontal="center" vertical="center" wrapText="1"/>
    </xf>
    <xf numFmtId="0" fontId="67" fillId="2" borderId="2" xfId="31" applyFont="1" applyFill="1" applyBorder="1" applyAlignment="1">
      <alignment horizontal="center" vertical="center" wrapText="1"/>
    </xf>
    <xf numFmtId="0" fontId="67" fillId="2" borderId="6" xfId="31" applyFont="1" applyFill="1" applyBorder="1" applyAlignment="1">
      <alignment horizontal="center" vertical="center" wrapText="1"/>
    </xf>
    <xf numFmtId="0" fontId="66" fillId="2" borderId="19" xfId="31" applyFont="1" applyFill="1" applyBorder="1" applyAlignment="1">
      <alignment horizontal="center" vertical="center"/>
    </xf>
    <xf numFmtId="0" fontId="66" fillId="2" borderId="28" xfId="31" applyFont="1" applyFill="1" applyBorder="1" applyAlignment="1">
      <alignment horizontal="center" vertical="center"/>
    </xf>
    <xf numFmtId="0" fontId="25" fillId="2" borderId="18" xfId="31" applyFont="1" applyFill="1" applyBorder="1" applyAlignment="1">
      <alignment horizontal="center" vertical="center" wrapText="1"/>
    </xf>
    <xf numFmtId="0" fontId="25" fillId="2" borderId="16" xfId="31" applyFont="1" applyFill="1" applyBorder="1" applyAlignment="1">
      <alignment horizontal="center" vertical="center" wrapText="1"/>
    </xf>
    <xf numFmtId="0" fontId="8" fillId="2" borderId="0" xfId="32" applyFont="1" applyFill="1" applyAlignment="1">
      <alignment horizontal="center" vertical="center" wrapText="1"/>
    </xf>
    <xf numFmtId="0" fontId="22" fillId="2" borderId="30" xfId="32" applyFont="1" applyFill="1" applyBorder="1" applyAlignment="1">
      <alignment horizontal="center" vertical="center" wrapText="1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31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9" fillId="2" borderId="31" xfId="32" applyFont="1" applyFill="1" applyBorder="1" applyAlignment="1">
      <alignment horizontal="center" vertical="center" wrapText="1"/>
    </xf>
    <xf numFmtId="0" fontId="29" fillId="2" borderId="32" xfId="32" applyFont="1" applyFill="1" applyBorder="1" applyAlignment="1">
      <alignment horizontal="center" vertical="center" wrapText="1"/>
    </xf>
    <xf numFmtId="0" fontId="22" fillId="2" borderId="28" xfId="32" applyFont="1" applyFill="1" applyBorder="1" applyAlignment="1">
      <alignment horizontal="center" vertical="center" wrapText="1"/>
    </xf>
    <xf numFmtId="0" fontId="22" fillId="0" borderId="13" xfId="32" applyFont="1" applyFill="1" applyBorder="1" applyAlignment="1">
      <alignment horizontal="center" vertical="center" wrapText="1"/>
    </xf>
    <xf numFmtId="0" fontId="22" fillId="0" borderId="1" xfId="32" applyFont="1" applyFill="1" applyBorder="1" applyAlignment="1">
      <alignment horizontal="center" vertical="center" wrapText="1"/>
    </xf>
    <xf numFmtId="0" fontId="22" fillId="2" borderId="7" xfId="32" applyFont="1" applyFill="1" applyBorder="1" applyAlignment="1">
      <alignment horizontal="center" vertical="center" wrapText="1"/>
    </xf>
    <xf numFmtId="0" fontId="22" fillId="2" borderId="13" xfId="32" applyFont="1" applyFill="1" applyBorder="1" applyAlignment="1">
      <alignment horizontal="center" vertical="center" wrapText="1"/>
    </xf>
    <xf numFmtId="0" fontId="22" fillId="2" borderId="8" xfId="32" applyFont="1" applyFill="1" applyBorder="1" applyAlignment="1">
      <alignment horizontal="center" vertical="center" wrapText="1"/>
    </xf>
    <xf numFmtId="0" fontId="22" fillId="2" borderId="1" xfId="32" applyFont="1" applyFill="1" applyBorder="1" applyAlignment="1">
      <alignment horizontal="center" vertical="center" wrapText="1"/>
    </xf>
    <xf numFmtId="0" fontId="29" fillId="2" borderId="8" xfId="32" applyFont="1" applyFill="1" applyBorder="1" applyAlignment="1">
      <alignment horizontal="center" vertical="center" wrapText="1"/>
    </xf>
    <xf numFmtId="0" fontId="65" fillId="2" borderId="9" xfId="31" applyFont="1" applyFill="1" applyBorder="1" applyAlignment="1">
      <alignment horizontal="center" vertical="center" wrapText="1"/>
    </xf>
    <xf numFmtId="0" fontId="65" fillId="2" borderId="14" xfId="31" applyFont="1" applyFill="1" applyBorder="1" applyAlignment="1">
      <alignment horizontal="center" vertical="center" wrapText="1"/>
    </xf>
    <xf numFmtId="0" fontId="44" fillId="2" borderId="31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horizontal="center" vertical="center" wrapText="1"/>
    </xf>
    <xf numFmtId="0" fontId="44" fillId="2" borderId="7" xfId="0" applyFont="1" applyFill="1" applyBorder="1" applyAlignment="1">
      <alignment horizontal="center" vertical="center" wrapText="1"/>
    </xf>
    <xf numFmtId="0" fontId="44" fillId="2" borderId="18" xfId="0" applyFont="1" applyFill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2" xfId="0" applyFont="1" applyFill="1" applyBorder="1" applyAlignment="1">
      <alignment horizontal="center" vertical="center" wrapText="1"/>
    </xf>
    <xf numFmtId="0" fontId="44" fillId="2" borderId="59" xfId="0" applyFont="1" applyFill="1" applyBorder="1" applyAlignment="1">
      <alignment horizontal="center" vertical="center" wrapText="1"/>
    </xf>
    <xf numFmtId="0" fontId="44" fillId="2" borderId="41" xfId="0" applyFont="1" applyFill="1" applyBorder="1" applyAlignment="1">
      <alignment horizontal="center" vertical="center" wrapText="1"/>
    </xf>
    <xf numFmtId="3" fontId="44" fillId="2" borderId="7" xfId="0" applyNumberFormat="1" applyFont="1" applyFill="1" applyBorder="1" applyAlignment="1">
      <alignment horizontal="center" vertical="center" wrapText="1"/>
    </xf>
    <xf numFmtId="3" fontId="44" fillId="2" borderId="26" xfId="0" applyNumberFormat="1" applyFont="1" applyFill="1" applyBorder="1" applyAlignment="1">
      <alignment horizontal="center" vertical="center" wrapText="1"/>
    </xf>
    <xf numFmtId="3" fontId="44" fillId="2" borderId="8" xfId="0" applyNumberFormat="1" applyFont="1" applyFill="1" applyBorder="1" applyAlignment="1">
      <alignment horizontal="center" vertical="center" wrapText="1"/>
    </xf>
    <xf numFmtId="3" fontId="44" fillId="2" borderId="9" xfId="0" applyNumberFormat="1" applyFont="1" applyFill="1" applyBorder="1" applyAlignment="1">
      <alignment horizontal="center" vertical="center" wrapText="1"/>
    </xf>
    <xf numFmtId="3" fontId="44" fillId="2" borderId="10" xfId="0" applyNumberFormat="1" applyFont="1" applyFill="1" applyBorder="1" applyAlignment="1">
      <alignment horizontal="center" vertical="center" wrapText="1"/>
    </xf>
    <xf numFmtId="3" fontId="44" fillId="2" borderId="58" xfId="0" applyNumberFormat="1" applyFont="1" applyFill="1" applyBorder="1" applyAlignment="1">
      <alignment horizontal="center" vertical="center" wrapText="1"/>
    </xf>
    <xf numFmtId="3" fontId="44" fillId="2" borderId="53" xfId="0" applyNumberFormat="1" applyFont="1" applyFill="1" applyBorder="1" applyAlignment="1">
      <alignment horizontal="center" vertical="center"/>
    </xf>
    <xf numFmtId="0" fontId="74" fillId="2" borderId="8" xfId="0" applyFont="1" applyFill="1" applyBorder="1" applyAlignment="1">
      <alignment horizontal="center" vertical="center" wrapText="1"/>
    </xf>
    <xf numFmtId="0" fontId="74" fillId="2" borderId="9" xfId="0" applyFont="1" applyFill="1" applyBorder="1" applyAlignment="1">
      <alignment horizontal="center" vertical="center" wrapText="1"/>
    </xf>
    <xf numFmtId="3" fontId="44" fillId="2" borderId="40" xfId="0" applyNumberFormat="1" applyFont="1" applyFill="1" applyBorder="1" applyAlignment="1">
      <alignment horizontal="center" vertical="center" wrapText="1"/>
    </xf>
    <xf numFmtId="3" fontId="44" fillId="2" borderId="57" xfId="0" applyNumberFormat="1" applyFont="1" applyFill="1" applyBorder="1" applyAlignment="1">
      <alignment horizontal="center" vertical="center" wrapText="1"/>
    </xf>
    <xf numFmtId="3" fontId="44" fillId="2" borderId="56" xfId="0" applyNumberFormat="1" applyFont="1" applyFill="1" applyBorder="1" applyAlignment="1">
      <alignment horizontal="center" vertical="center" wrapText="1"/>
    </xf>
    <xf numFmtId="3" fontId="44" fillId="2" borderId="15" xfId="0" applyNumberFormat="1" applyFont="1" applyFill="1" applyBorder="1" applyAlignment="1">
      <alignment horizontal="center" vertical="center" wrapText="1"/>
    </xf>
    <xf numFmtId="0" fontId="74" fillId="2" borderId="5" xfId="0" applyFont="1" applyFill="1" applyBorder="1" applyAlignment="1">
      <alignment horizontal="center" vertical="center" wrapText="1"/>
    </xf>
    <xf numFmtId="0" fontId="74" fillId="2" borderId="20" xfId="0" applyFont="1" applyFill="1" applyBorder="1" applyAlignment="1">
      <alignment horizontal="center" vertical="center" wrapText="1"/>
    </xf>
    <xf numFmtId="3" fontId="44" fillId="2" borderId="2" xfId="0" applyNumberFormat="1" applyFont="1" applyFill="1" applyBorder="1" applyAlignment="1">
      <alignment horizontal="center" vertical="center" wrapText="1"/>
    </xf>
    <xf numFmtId="0" fontId="74" fillId="2" borderId="3" xfId="0" applyFont="1" applyFill="1" applyBorder="1" applyAlignment="1">
      <alignment horizontal="center" vertical="center" wrapText="1"/>
    </xf>
    <xf numFmtId="3" fontId="44" fillId="2" borderId="19" xfId="0" applyNumberFormat="1" applyFont="1" applyFill="1" applyBorder="1" applyAlignment="1">
      <alignment horizontal="center" vertical="center" wrapText="1"/>
    </xf>
    <xf numFmtId="0" fontId="74" fillId="2" borderId="34" xfId="0" applyFont="1" applyFill="1" applyBorder="1" applyAlignment="1">
      <alignment horizontal="center" vertical="center" wrapText="1"/>
    </xf>
    <xf numFmtId="3" fontId="44" fillId="2" borderId="13" xfId="0" applyNumberFormat="1" applyFont="1" applyFill="1" applyBorder="1" applyAlignment="1">
      <alignment horizontal="center" vertical="center" wrapText="1"/>
    </xf>
    <xf numFmtId="0" fontId="74" fillId="2" borderId="17" xfId="0" applyFont="1" applyFill="1" applyBorder="1" applyAlignment="1">
      <alignment horizontal="center" vertical="center" wrapText="1"/>
    </xf>
    <xf numFmtId="3" fontId="44" fillId="2" borderId="1" xfId="0" applyNumberFormat="1" applyFont="1" applyFill="1" applyBorder="1" applyAlignment="1">
      <alignment horizontal="center" vertical="center" wrapText="1"/>
    </xf>
    <xf numFmtId="0" fontId="74" fillId="2" borderId="2" xfId="0" applyFont="1" applyFill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center" vertical="center" wrapText="1"/>
    </xf>
    <xf numFmtId="0" fontId="74" fillId="2" borderId="19" xfId="0" applyFont="1" applyFill="1" applyBorder="1" applyAlignment="1">
      <alignment horizontal="center" vertical="center" wrapText="1"/>
    </xf>
    <xf numFmtId="3" fontId="14" fillId="2" borderId="1" xfId="10" applyNumberFormat="1" applyFont="1" applyFill="1" applyBorder="1" applyAlignment="1">
      <alignment horizontal="center" vertical="center" wrapText="1"/>
    </xf>
    <xf numFmtId="0" fontId="16" fillId="0" borderId="1" xfId="10" applyFont="1" applyFill="1" applyBorder="1" applyAlignment="1">
      <alignment horizontal="center" vertical="center"/>
    </xf>
    <xf numFmtId="0" fontId="15" fillId="3" borderId="0" xfId="10" applyNumberFormat="1" applyFont="1" applyFill="1" applyBorder="1" applyAlignment="1">
      <alignment horizontal="center" vertical="center" wrapText="1"/>
    </xf>
    <xf numFmtId="0" fontId="14" fillId="3" borderId="1" xfId="10" applyFont="1" applyFill="1" applyBorder="1" applyAlignment="1">
      <alignment horizontal="center" vertical="center" wrapText="1"/>
    </xf>
    <xf numFmtId="0" fontId="14" fillId="2" borderId="1" xfId="10" applyFont="1" applyFill="1" applyBorder="1" applyAlignment="1">
      <alignment horizontal="center" vertical="center" wrapText="1"/>
    </xf>
    <xf numFmtId="1" fontId="16" fillId="3" borderId="1" xfId="10" applyNumberFormat="1" applyFont="1" applyFill="1" applyBorder="1" applyAlignment="1">
      <alignment horizontal="center" vertical="center" wrapText="1"/>
    </xf>
    <xf numFmtId="1" fontId="16" fillId="3" borderId="4" xfId="10" applyNumberFormat="1" applyFont="1" applyFill="1" applyBorder="1" applyAlignment="1">
      <alignment horizontal="center" vertical="center" wrapText="1"/>
    </xf>
    <xf numFmtId="1" fontId="16" fillId="3" borderId="5" xfId="10" applyNumberFormat="1" applyFont="1" applyFill="1" applyBorder="1" applyAlignment="1">
      <alignment horizontal="center" vertical="center" wrapText="1"/>
    </xf>
    <xf numFmtId="1" fontId="16" fillId="3" borderId="20" xfId="10" applyNumberFormat="1" applyFont="1" applyFill="1" applyBorder="1" applyAlignment="1">
      <alignment horizontal="center" vertical="center" wrapText="1"/>
    </xf>
    <xf numFmtId="3" fontId="14" fillId="2" borderId="2" xfId="10" applyNumberFormat="1" applyFont="1" applyFill="1" applyBorder="1" applyAlignment="1">
      <alignment horizontal="center" vertical="center" wrapText="1"/>
    </xf>
    <xf numFmtId="3" fontId="14" fillId="2" borderId="3" xfId="10" applyNumberFormat="1" applyFont="1" applyFill="1" applyBorder="1" applyAlignment="1">
      <alignment horizontal="center" vertical="center" wrapText="1"/>
    </xf>
    <xf numFmtId="3" fontId="14" fillId="2" borderId="6" xfId="10" applyNumberFormat="1" applyFont="1" applyFill="1" applyBorder="1" applyAlignment="1">
      <alignment horizontal="center" vertical="center" wrapText="1"/>
    </xf>
    <xf numFmtId="3" fontId="14" fillId="2" borderId="4" xfId="10" applyNumberFormat="1" applyFont="1" applyFill="1" applyBorder="1" applyAlignment="1">
      <alignment horizontal="center" vertical="center" wrapText="1"/>
    </xf>
    <xf numFmtId="3" fontId="14" fillId="2" borderId="20" xfId="10" applyNumberFormat="1" applyFont="1" applyFill="1" applyBorder="1" applyAlignment="1">
      <alignment horizontal="center" vertical="center" wrapText="1"/>
    </xf>
  </cellXfs>
  <cellStyles count="43">
    <cellStyle name="Обычный" xfId="0" builtinId="0"/>
    <cellStyle name="Обычный 10 10 10 2" xfId="11" xr:uid="{00000000-0005-0000-0000-000001000000}"/>
    <cellStyle name="Обычный 10 10 10 2 2" xfId="16" xr:uid="{00000000-0005-0000-0000-000002000000}"/>
    <cellStyle name="Обычный 10 10 10 2 2 2 2 2" xfId="18" xr:uid="{00000000-0005-0000-0000-000003000000}"/>
    <cellStyle name="Обычный 10 10 10 2 2 3" xfId="42" xr:uid="{00000000-0005-0000-0000-000004000000}"/>
    <cellStyle name="Обычный 10 10 14" xfId="25" xr:uid="{00000000-0005-0000-0000-000005000000}"/>
    <cellStyle name="Обычный 10 10 14 7 2" xfId="26" xr:uid="{00000000-0005-0000-0000-000006000000}"/>
    <cellStyle name="Обычный 10 10 14 7 2 3" xfId="41" xr:uid="{00000000-0005-0000-0000-000007000000}"/>
    <cellStyle name="Обычный 10 10 3 3 6 3" xfId="33" xr:uid="{00000000-0005-0000-0000-000008000000}"/>
    <cellStyle name="Обычный 100" xfId="13" xr:uid="{00000000-0005-0000-0000-000009000000}"/>
    <cellStyle name="Обычный 144" xfId="12" xr:uid="{00000000-0005-0000-0000-00000A000000}"/>
    <cellStyle name="Обычный 144 2" xfId="17" xr:uid="{00000000-0005-0000-0000-00000B000000}"/>
    <cellStyle name="Обычный 149 12" xfId="2" xr:uid="{00000000-0005-0000-0000-00000C000000}"/>
    <cellStyle name="Обычный 15 2 4 4" xfId="10" xr:uid="{00000000-0005-0000-0000-00000D000000}"/>
    <cellStyle name="Обычный 150" xfId="28" xr:uid="{00000000-0005-0000-0000-00000E000000}"/>
    <cellStyle name="Обычный 150 3" xfId="32" xr:uid="{00000000-0005-0000-0000-00000F000000}"/>
    <cellStyle name="Обычный 17" xfId="22" xr:uid="{00000000-0005-0000-0000-000010000000}"/>
    <cellStyle name="Обычный 2" xfId="1" xr:uid="{00000000-0005-0000-0000-000011000000}"/>
    <cellStyle name="Обычный 2 10" xfId="5" xr:uid="{00000000-0005-0000-0000-000012000000}"/>
    <cellStyle name="Обычный 2 136 11 7 4 3" xfId="19" xr:uid="{00000000-0005-0000-0000-000013000000}"/>
    <cellStyle name="Обычный 2 136 11 7 4 3 6" xfId="20" xr:uid="{00000000-0005-0000-0000-000014000000}"/>
    <cellStyle name="Обычный 2 136 11 7 4 8" xfId="21" xr:uid="{00000000-0005-0000-0000-000015000000}"/>
    <cellStyle name="Обычный 2 136 11 7 6 2" xfId="7" xr:uid="{00000000-0005-0000-0000-000016000000}"/>
    <cellStyle name="Обычный 2 136 11 7 6 2 2" xfId="39" xr:uid="{00000000-0005-0000-0000-000017000000}"/>
    <cellStyle name="Обычный 2 136 15" xfId="24" xr:uid="{00000000-0005-0000-0000-000018000000}"/>
    <cellStyle name="Обычный 2 136 15 3" xfId="40" xr:uid="{00000000-0005-0000-0000-000019000000}"/>
    <cellStyle name="Обычный 2 136 23 7" xfId="23" xr:uid="{00000000-0005-0000-0000-00001A000000}"/>
    <cellStyle name="Обычный 2 137" xfId="9" xr:uid="{00000000-0005-0000-0000-00001B000000}"/>
    <cellStyle name="Обычный 2 139" xfId="31" xr:uid="{00000000-0005-0000-0000-00001C000000}"/>
    <cellStyle name="Обычный 2 148" xfId="15" xr:uid="{00000000-0005-0000-0000-00001D000000}"/>
    <cellStyle name="Обычный 2 2" xfId="29" xr:uid="{00000000-0005-0000-0000-00001E000000}"/>
    <cellStyle name="Обычный 2 2 2 4" xfId="3" xr:uid="{00000000-0005-0000-0000-00001F000000}"/>
    <cellStyle name="Обычный 2 3 2" xfId="6" xr:uid="{00000000-0005-0000-0000-000020000000}"/>
    <cellStyle name="Обычный 2 6" xfId="8" xr:uid="{00000000-0005-0000-0000-000021000000}"/>
    <cellStyle name="Обычный 2 6 2" xfId="38" xr:uid="{00000000-0005-0000-0000-000022000000}"/>
    <cellStyle name="Обычный 3" xfId="35" xr:uid="{00000000-0005-0000-0000-000023000000}"/>
    <cellStyle name="Обычный 4" xfId="37" xr:uid="{00000000-0005-0000-0000-000024000000}"/>
    <cellStyle name="Обычный 4 33" xfId="34" xr:uid="{00000000-0005-0000-0000-000025000000}"/>
    <cellStyle name="Обычный 5" xfId="4" xr:uid="{00000000-0005-0000-0000-000026000000}"/>
    <cellStyle name="Обычный 6 19 8" xfId="30" xr:uid="{00000000-0005-0000-0000-000027000000}"/>
    <cellStyle name="Обычный 84 2 3" xfId="14" xr:uid="{00000000-0005-0000-0000-000028000000}"/>
    <cellStyle name="Обычный 85" xfId="27" xr:uid="{00000000-0005-0000-0000-000029000000}"/>
    <cellStyle name="Обычный_17.04.2007 Свод(общий)" xfId="36" xr:uid="{00000000-0005-0000-0000-00002A00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5;&#1088;&#1086;&#1092;&#1080;&#1083;&#1072;&#1082;&#1090;&#1080;&#1082;&#1072;%20&#1080;%20&#1087;&#1086;&#1076;&#1091;&#1096;&#1077;&#1074;&#1082;&#1072;%202024/&#1054;&#1073;&#1098;&#1077;&#1084;&#1099;/&#1056;&#1072;&#1079;&#1086;&#1074;&#1099;&#1077;%20&#1087;&#1086;&#1089;&#1077;&#1097;&#1077;&#1085;&#1080;&#1103;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5;&#1088;&#1086;&#1092;&#1080;&#1083;&#1072;&#1082;&#1090;&#1080;&#1082;&#1072;%20&#1080;%20&#1087;&#1086;&#1076;&#1091;&#1096;&#1077;&#1074;&#1082;&#1072;%202024/&#1054;&#1073;&#1098;&#1077;&#1084;&#1099;/&#1064;&#1082;&#1086;&#1083;&#1072;%20&#1089;&#1072;&#1093;&#1072;&#1088;.&#1076;&#1080;&#1072;&#1073;&#1077;&#1090;&#1072;%20202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4%20&#1075;\&#1040;&#1055;&#1059;\&#1055;&#1088;&#1086;&#1092;&#1080;&#1083;&#1072;&#1082;&#1090;&#1080;&#1082;&#1072;\&#1056;&#1072;&#1089;&#1095;&#1077;&#1090;&#1085;&#1072;&#1103;%20&#1055;&#1088;&#1086;&#1092;&#1080;&#1083;&#1072;&#1082;&#1090;&#1080;&#1082;&#1072;_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.пос.(Пр.20-23)"/>
      <sheetName val="Раз.пос.(Пр.2-24) "/>
      <sheetName val="Откл.Пр.2-24-Пр.20-23"/>
      <sheetName val="Перевод ДН дети"/>
      <sheetName val="Перевод 2 этапа ДВН"/>
      <sheetName val="Перевод 2 этапа УД"/>
      <sheetName val="Раз.пос.(Пр.3-24)"/>
      <sheetName val="Раз.пос МЗ 15.02."/>
      <sheetName val="Отклон.от МЗ"/>
      <sheetName val="Отклон.Пр.3-24-Пр.2-24"/>
      <sheetName val="Раз.пос.(Пр.4-24) "/>
      <sheetName val="Отклон.Пр.4-24-Пр.3-24 "/>
      <sheetName val="Раз.пос.(Пр.5-24)  "/>
      <sheetName val="Отклон.Пр.5-24-Пр.4-24  "/>
    </sheetNames>
    <sheetDataSet>
      <sheetData sheetId="0" refreshError="1"/>
      <sheetData sheetId="1">
        <row r="9">
          <cell r="G9">
            <v>2376</v>
          </cell>
          <cell r="J9">
            <v>144000</v>
          </cell>
        </row>
        <row r="11">
          <cell r="I11">
            <v>0</v>
          </cell>
          <cell r="M11">
            <v>0</v>
          </cell>
          <cell r="N11">
            <v>0</v>
          </cell>
          <cell r="Q11">
            <v>0</v>
          </cell>
          <cell r="S11">
            <v>0</v>
          </cell>
        </row>
        <row r="12">
          <cell r="I12">
            <v>0</v>
          </cell>
          <cell r="M12">
            <v>1025</v>
          </cell>
          <cell r="N12">
            <v>439</v>
          </cell>
          <cell r="Q12">
            <v>0</v>
          </cell>
          <cell r="S12">
            <v>0</v>
          </cell>
        </row>
        <row r="13">
          <cell r="I13">
            <v>0</v>
          </cell>
          <cell r="M13">
            <v>1025</v>
          </cell>
          <cell r="N13">
            <v>439</v>
          </cell>
          <cell r="Q13">
            <v>0</v>
          </cell>
          <cell r="S13">
            <v>0</v>
          </cell>
        </row>
        <row r="14">
          <cell r="I14">
            <v>0</v>
          </cell>
          <cell r="M14">
            <v>0</v>
          </cell>
          <cell r="N14">
            <v>0</v>
          </cell>
          <cell r="Q14">
            <v>0</v>
          </cell>
          <cell r="S14">
            <v>0</v>
          </cell>
        </row>
        <row r="15">
          <cell r="I15">
            <v>0</v>
          </cell>
          <cell r="M15">
            <v>0</v>
          </cell>
          <cell r="N15">
            <v>0</v>
          </cell>
          <cell r="Q15">
            <v>0</v>
          </cell>
          <cell r="S15">
            <v>0</v>
          </cell>
        </row>
        <row r="16">
          <cell r="I16">
            <v>218</v>
          </cell>
          <cell r="M16">
            <v>1025</v>
          </cell>
          <cell r="N16">
            <v>439</v>
          </cell>
          <cell r="Q16">
            <v>0</v>
          </cell>
          <cell r="S16">
            <v>0</v>
          </cell>
        </row>
        <row r="17">
          <cell r="I17">
            <v>1373</v>
          </cell>
          <cell r="M17">
            <v>1025</v>
          </cell>
          <cell r="N17">
            <v>439</v>
          </cell>
          <cell r="Q17">
            <v>0</v>
          </cell>
          <cell r="S17">
            <v>0</v>
          </cell>
        </row>
        <row r="18">
          <cell r="I18">
            <v>0</v>
          </cell>
          <cell r="M18">
            <v>0</v>
          </cell>
          <cell r="N18">
            <v>0</v>
          </cell>
          <cell r="Q18">
            <v>0</v>
          </cell>
          <cell r="S18">
            <v>0</v>
          </cell>
        </row>
        <row r="19">
          <cell r="I19">
            <v>0</v>
          </cell>
          <cell r="M19">
            <v>1025</v>
          </cell>
          <cell r="N19">
            <v>439</v>
          </cell>
          <cell r="Q19">
            <v>0</v>
          </cell>
          <cell r="S19">
            <v>0</v>
          </cell>
        </row>
        <row r="20">
          <cell r="I20">
            <v>0</v>
          </cell>
          <cell r="M20">
            <v>0</v>
          </cell>
          <cell r="N20">
            <v>0</v>
          </cell>
          <cell r="Q20">
            <v>0</v>
          </cell>
          <cell r="S20">
            <v>0</v>
          </cell>
        </row>
        <row r="21">
          <cell r="I21">
            <v>0</v>
          </cell>
          <cell r="M21">
            <v>0</v>
          </cell>
          <cell r="N21">
            <v>0</v>
          </cell>
          <cell r="Q21">
            <v>0</v>
          </cell>
          <cell r="S21">
            <v>0</v>
          </cell>
        </row>
        <row r="22">
          <cell r="I22">
            <v>0</v>
          </cell>
          <cell r="M22">
            <v>1025</v>
          </cell>
          <cell r="N22">
            <v>439</v>
          </cell>
          <cell r="Q22">
            <v>0</v>
          </cell>
          <cell r="S22">
            <v>0</v>
          </cell>
        </row>
        <row r="23">
          <cell r="I23">
            <v>0</v>
          </cell>
          <cell r="M23">
            <v>0</v>
          </cell>
          <cell r="N23">
            <v>0</v>
          </cell>
          <cell r="Q23">
            <v>0</v>
          </cell>
          <cell r="S23">
            <v>0</v>
          </cell>
        </row>
        <row r="24">
          <cell r="I24">
            <v>0</v>
          </cell>
          <cell r="M24">
            <v>0</v>
          </cell>
          <cell r="N24">
            <v>0</v>
          </cell>
          <cell r="Q24">
            <v>0</v>
          </cell>
          <cell r="S24">
            <v>0</v>
          </cell>
        </row>
        <row r="25">
          <cell r="I25">
            <v>0</v>
          </cell>
          <cell r="M25">
            <v>1025</v>
          </cell>
          <cell r="N25">
            <v>439</v>
          </cell>
          <cell r="Q25">
            <v>0</v>
          </cell>
          <cell r="S25">
            <v>0</v>
          </cell>
        </row>
        <row r="26">
          <cell r="I26">
            <v>0</v>
          </cell>
          <cell r="M26">
            <v>0</v>
          </cell>
          <cell r="N26">
            <v>0</v>
          </cell>
          <cell r="Q26">
            <v>0</v>
          </cell>
          <cell r="S26">
            <v>0</v>
          </cell>
        </row>
        <row r="27">
          <cell r="I27">
            <v>0</v>
          </cell>
          <cell r="M27">
            <v>1025</v>
          </cell>
          <cell r="N27">
            <v>439</v>
          </cell>
          <cell r="Q27">
            <v>0</v>
          </cell>
          <cell r="S27">
            <v>0</v>
          </cell>
        </row>
        <row r="28">
          <cell r="I28">
            <v>0</v>
          </cell>
          <cell r="M28">
            <v>0</v>
          </cell>
          <cell r="N28">
            <v>0</v>
          </cell>
          <cell r="Q28">
            <v>0</v>
          </cell>
          <cell r="S28">
            <v>0</v>
          </cell>
        </row>
        <row r="29">
          <cell r="I29">
            <v>0</v>
          </cell>
          <cell r="M29">
            <v>0</v>
          </cell>
          <cell r="N29">
            <v>0</v>
          </cell>
          <cell r="Q29">
            <v>0</v>
          </cell>
          <cell r="S29">
            <v>0</v>
          </cell>
        </row>
        <row r="30">
          <cell r="I30">
            <v>870</v>
          </cell>
          <cell r="M30">
            <v>1025</v>
          </cell>
          <cell r="N30">
            <v>439</v>
          </cell>
          <cell r="Q30">
            <v>0</v>
          </cell>
          <cell r="S30">
            <v>0</v>
          </cell>
        </row>
        <row r="31">
          <cell r="I31">
            <v>0</v>
          </cell>
          <cell r="M31">
            <v>1025</v>
          </cell>
          <cell r="N31">
            <v>439</v>
          </cell>
          <cell r="Q31">
            <v>0</v>
          </cell>
          <cell r="S31">
            <v>0</v>
          </cell>
        </row>
        <row r="32">
          <cell r="I32">
            <v>0</v>
          </cell>
          <cell r="M32">
            <v>0</v>
          </cell>
          <cell r="N32">
            <v>0</v>
          </cell>
          <cell r="Q32">
            <v>0</v>
          </cell>
          <cell r="S32">
            <v>0</v>
          </cell>
        </row>
        <row r="33">
          <cell r="I33">
            <v>0</v>
          </cell>
          <cell r="M33">
            <v>0</v>
          </cell>
          <cell r="N33">
            <v>0</v>
          </cell>
          <cell r="Q33">
            <v>0</v>
          </cell>
          <cell r="S33">
            <v>0</v>
          </cell>
        </row>
        <row r="34">
          <cell r="I34">
            <v>0</v>
          </cell>
          <cell r="M34">
            <v>0</v>
          </cell>
          <cell r="N34">
            <v>0</v>
          </cell>
          <cell r="Q34">
            <v>0</v>
          </cell>
          <cell r="S34">
            <v>0</v>
          </cell>
        </row>
        <row r="35">
          <cell r="I35">
            <v>0</v>
          </cell>
          <cell r="M35">
            <v>3075</v>
          </cell>
          <cell r="N35">
            <v>1317</v>
          </cell>
          <cell r="Q35">
            <v>0</v>
          </cell>
          <cell r="S35">
            <v>0</v>
          </cell>
        </row>
        <row r="36">
          <cell r="I36">
            <v>0</v>
          </cell>
          <cell r="M36">
            <v>0</v>
          </cell>
          <cell r="N36">
            <v>0</v>
          </cell>
          <cell r="Q36">
            <v>0</v>
          </cell>
          <cell r="S36">
            <v>0</v>
          </cell>
        </row>
        <row r="37">
          <cell r="I37">
            <v>2139</v>
          </cell>
          <cell r="M37">
            <v>0</v>
          </cell>
          <cell r="N37">
            <v>0</v>
          </cell>
          <cell r="Q37">
            <v>0</v>
          </cell>
          <cell r="S37">
            <v>0</v>
          </cell>
        </row>
        <row r="38">
          <cell r="I38">
            <v>0</v>
          </cell>
          <cell r="M38">
            <v>0</v>
          </cell>
          <cell r="N38">
            <v>0</v>
          </cell>
          <cell r="Q38">
            <v>0</v>
          </cell>
          <cell r="S38">
            <v>0</v>
          </cell>
        </row>
        <row r="39">
          <cell r="I39">
            <v>0</v>
          </cell>
          <cell r="M39">
            <v>1025</v>
          </cell>
          <cell r="N39">
            <v>439</v>
          </cell>
          <cell r="Q39">
            <v>0</v>
          </cell>
          <cell r="S39">
            <v>0</v>
          </cell>
        </row>
        <row r="40">
          <cell r="I40">
            <v>407</v>
          </cell>
          <cell r="M40">
            <v>1025</v>
          </cell>
          <cell r="N40">
            <v>439</v>
          </cell>
          <cell r="Q40">
            <v>0</v>
          </cell>
          <cell r="S40">
            <v>0</v>
          </cell>
        </row>
        <row r="41">
          <cell r="I41">
            <v>0</v>
          </cell>
          <cell r="M41">
            <v>0</v>
          </cell>
          <cell r="N41">
            <v>0</v>
          </cell>
          <cell r="Q41">
            <v>0</v>
          </cell>
          <cell r="S41">
            <v>0</v>
          </cell>
        </row>
        <row r="42">
          <cell r="I42">
            <v>0</v>
          </cell>
          <cell r="M42">
            <v>1025</v>
          </cell>
          <cell r="N42">
            <v>439</v>
          </cell>
          <cell r="Q42">
            <v>0</v>
          </cell>
          <cell r="S42">
            <v>0</v>
          </cell>
        </row>
        <row r="43">
          <cell r="I43">
            <v>0</v>
          </cell>
          <cell r="M43">
            <v>0</v>
          </cell>
          <cell r="N43">
            <v>0</v>
          </cell>
          <cell r="Q43">
            <v>0</v>
          </cell>
          <cell r="S43">
            <v>0</v>
          </cell>
        </row>
        <row r="44">
          <cell r="I44">
            <v>0</v>
          </cell>
          <cell r="M44">
            <v>1025</v>
          </cell>
          <cell r="N44">
            <v>439</v>
          </cell>
          <cell r="Q44">
            <v>0</v>
          </cell>
          <cell r="S44">
            <v>0</v>
          </cell>
        </row>
        <row r="45">
          <cell r="I45">
            <v>0</v>
          </cell>
          <cell r="M45">
            <v>0</v>
          </cell>
          <cell r="N45">
            <v>0</v>
          </cell>
          <cell r="Q45">
            <v>0</v>
          </cell>
          <cell r="S45">
            <v>0</v>
          </cell>
        </row>
        <row r="46">
          <cell r="I46">
            <v>0</v>
          </cell>
          <cell r="M46">
            <v>0</v>
          </cell>
          <cell r="N46">
            <v>0</v>
          </cell>
          <cell r="Q46">
            <v>0</v>
          </cell>
          <cell r="S46">
            <v>0</v>
          </cell>
        </row>
        <row r="47">
          <cell r="I47">
            <v>0</v>
          </cell>
          <cell r="M47">
            <v>1025</v>
          </cell>
          <cell r="N47">
            <v>439</v>
          </cell>
          <cell r="Q47">
            <v>0</v>
          </cell>
          <cell r="S47">
            <v>0</v>
          </cell>
        </row>
        <row r="48">
          <cell r="I48">
            <v>0</v>
          </cell>
          <cell r="M48">
            <v>0</v>
          </cell>
          <cell r="N48">
            <v>0</v>
          </cell>
          <cell r="Q48">
            <v>0</v>
          </cell>
          <cell r="S48">
            <v>0</v>
          </cell>
        </row>
        <row r="49">
          <cell r="I49">
            <v>0</v>
          </cell>
          <cell r="M49">
            <v>0</v>
          </cell>
          <cell r="N49">
            <v>0</v>
          </cell>
          <cell r="Q49">
            <v>0</v>
          </cell>
          <cell r="S49">
            <v>0</v>
          </cell>
        </row>
        <row r="50">
          <cell r="I50">
            <v>0</v>
          </cell>
          <cell r="M50">
            <v>1025</v>
          </cell>
          <cell r="N50">
            <v>439</v>
          </cell>
          <cell r="Q50">
            <v>0</v>
          </cell>
          <cell r="S50">
            <v>0</v>
          </cell>
        </row>
        <row r="51">
          <cell r="I51">
            <v>0</v>
          </cell>
          <cell r="M51">
            <v>0</v>
          </cell>
          <cell r="N51">
            <v>0</v>
          </cell>
          <cell r="Q51">
            <v>0</v>
          </cell>
          <cell r="S51">
            <v>0</v>
          </cell>
        </row>
        <row r="52">
          <cell r="I52">
            <v>0</v>
          </cell>
          <cell r="M52">
            <v>1025</v>
          </cell>
          <cell r="N52">
            <v>439</v>
          </cell>
          <cell r="Q52">
            <v>0</v>
          </cell>
          <cell r="S52">
            <v>0</v>
          </cell>
        </row>
        <row r="53">
          <cell r="I53">
            <v>0</v>
          </cell>
          <cell r="M53">
            <v>0</v>
          </cell>
          <cell r="N53">
            <v>0</v>
          </cell>
          <cell r="Q53">
            <v>0</v>
          </cell>
          <cell r="S53">
            <v>0</v>
          </cell>
        </row>
        <row r="54">
          <cell r="I54">
            <v>0</v>
          </cell>
          <cell r="M54">
            <v>1025</v>
          </cell>
          <cell r="N54">
            <v>439</v>
          </cell>
          <cell r="Q54">
            <v>0</v>
          </cell>
          <cell r="S54">
            <v>0</v>
          </cell>
        </row>
        <row r="55">
          <cell r="I55">
            <v>0</v>
          </cell>
          <cell r="M55">
            <v>1025</v>
          </cell>
          <cell r="N55">
            <v>439</v>
          </cell>
          <cell r="Q55">
            <v>0</v>
          </cell>
          <cell r="S55">
            <v>0</v>
          </cell>
        </row>
        <row r="56">
          <cell r="I56">
            <v>0</v>
          </cell>
          <cell r="M56">
            <v>0</v>
          </cell>
          <cell r="N56">
            <v>0</v>
          </cell>
          <cell r="Q56">
            <v>0</v>
          </cell>
          <cell r="S56">
            <v>0</v>
          </cell>
        </row>
        <row r="57">
          <cell r="I57">
            <v>0</v>
          </cell>
          <cell r="M57">
            <v>1025</v>
          </cell>
          <cell r="N57">
            <v>439</v>
          </cell>
          <cell r="Q57">
            <v>0</v>
          </cell>
          <cell r="S57">
            <v>0</v>
          </cell>
        </row>
        <row r="58">
          <cell r="I58">
            <v>0</v>
          </cell>
          <cell r="M58">
            <v>0</v>
          </cell>
          <cell r="N58">
            <v>0</v>
          </cell>
          <cell r="Q58">
            <v>0</v>
          </cell>
          <cell r="S58">
            <v>0</v>
          </cell>
        </row>
        <row r="59">
          <cell r="I59">
            <v>50</v>
          </cell>
          <cell r="M59">
            <v>1025</v>
          </cell>
          <cell r="N59">
            <v>439</v>
          </cell>
          <cell r="Q59">
            <v>0</v>
          </cell>
          <cell r="S59">
            <v>0</v>
          </cell>
        </row>
        <row r="60">
          <cell r="I60">
            <v>0</v>
          </cell>
          <cell r="M60">
            <v>1025</v>
          </cell>
          <cell r="N60">
            <v>439</v>
          </cell>
          <cell r="Q60">
            <v>0</v>
          </cell>
          <cell r="S60">
            <v>0</v>
          </cell>
        </row>
        <row r="61">
          <cell r="I61">
            <v>0</v>
          </cell>
          <cell r="M61">
            <v>0</v>
          </cell>
          <cell r="N61">
            <v>0</v>
          </cell>
          <cell r="Q61">
            <v>0</v>
          </cell>
          <cell r="S61">
            <v>0</v>
          </cell>
        </row>
        <row r="62">
          <cell r="I62">
            <v>0</v>
          </cell>
          <cell r="M62">
            <v>0</v>
          </cell>
          <cell r="N62">
            <v>0</v>
          </cell>
          <cell r="Q62">
            <v>0</v>
          </cell>
          <cell r="S62">
            <v>0</v>
          </cell>
        </row>
        <row r="63">
          <cell r="I63">
            <v>0</v>
          </cell>
          <cell r="M63">
            <v>0</v>
          </cell>
          <cell r="N63">
            <v>0</v>
          </cell>
          <cell r="Q63">
            <v>0</v>
          </cell>
          <cell r="S63">
            <v>0</v>
          </cell>
        </row>
        <row r="64">
          <cell r="I64">
            <v>0</v>
          </cell>
          <cell r="M64">
            <v>0</v>
          </cell>
          <cell r="N64">
            <v>0</v>
          </cell>
          <cell r="Q64">
            <v>0</v>
          </cell>
          <cell r="S64">
            <v>0</v>
          </cell>
        </row>
        <row r="65">
          <cell r="I65">
            <v>100</v>
          </cell>
          <cell r="M65">
            <v>0</v>
          </cell>
          <cell r="N65">
            <v>0</v>
          </cell>
          <cell r="Q65">
            <v>0</v>
          </cell>
          <cell r="S65">
            <v>0</v>
          </cell>
        </row>
        <row r="66">
          <cell r="I66">
            <v>0</v>
          </cell>
          <cell r="M66">
            <v>0</v>
          </cell>
          <cell r="N66">
            <v>0</v>
          </cell>
          <cell r="Q66">
            <v>0</v>
          </cell>
          <cell r="S66">
            <v>0</v>
          </cell>
        </row>
        <row r="67">
          <cell r="I67">
            <v>0</v>
          </cell>
          <cell r="M67">
            <v>0</v>
          </cell>
          <cell r="N67">
            <v>0</v>
          </cell>
          <cell r="Q67">
            <v>0</v>
          </cell>
          <cell r="S67">
            <v>0</v>
          </cell>
        </row>
        <row r="68">
          <cell r="I68">
            <v>9619</v>
          </cell>
          <cell r="M68">
            <v>0</v>
          </cell>
          <cell r="N68">
            <v>0</v>
          </cell>
          <cell r="Q68">
            <v>0</v>
          </cell>
          <cell r="S68">
            <v>0</v>
          </cell>
        </row>
        <row r="69">
          <cell r="I69">
            <v>4700</v>
          </cell>
          <cell r="M69">
            <v>0</v>
          </cell>
          <cell r="N69">
            <v>0</v>
          </cell>
          <cell r="Q69">
            <v>0</v>
          </cell>
          <cell r="S69">
            <v>0</v>
          </cell>
        </row>
        <row r="70">
          <cell r="I70">
            <v>0</v>
          </cell>
          <cell r="M70">
            <v>1025</v>
          </cell>
          <cell r="N70">
            <v>439</v>
          </cell>
          <cell r="Q70">
            <v>0</v>
          </cell>
          <cell r="S70">
            <v>0</v>
          </cell>
        </row>
        <row r="71">
          <cell r="I71">
            <v>0</v>
          </cell>
          <cell r="M71">
            <v>1025</v>
          </cell>
          <cell r="N71">
            <v>439</v>
          </cell>
          <cell r="Q71">
            <v>0</v>
          </cell>
          <cell r="S71">
            <v>0</v>
          </cell>
        </row>
        <row r="72">
          <cell r="I72">
            <v>0</v>
          </cell>
          <cell r="M72">
            <v>1025</v>
          </cell>
          <cell r="N72">
            <v>439</v>
          </cell>
          <cell r="Q72">
            <v>0</v>
          </cell>
          <cell r="S72">
            <v>0</v>
          </cell>
        </row>
        <row r="73">
          <cell r="I73">
            <v>0</v>
          </cell>
          <cell r="M73">
            <v>0</v>
          </cell>
          <cell r="N73">
            <v>0</v>
          </cell>
          <cell r="Q73">
            <v>0</v>
          </cell>
          <cell r="S73">
            <v>0</v>
          </cell>
        </row>
        <row r="74">
          <cell r="I74">
            <v>0</v>
          </cell>
          <cell r="M74">
            <v>0</v>
          </cell>
          <cell r="N74">
            <v>0</v>
          </cell>
          <cell r="Q74">
            <v>0</v>
          </cell>
          <cell r="S74">
            <v>0</v>
          </cell>
        </row>
        <row r="75">
          <cell r="I75">
            <v>0</v>
          </cell>
          <cell r="M75">
            <v>0</v>
          </cell>
          <cell r="N75">
            <v>0</v>
          </cell>
          <cell r="Q75">
            <v>0</v>
          </cell>
          <cell r="S75">
            <v>0</v>
          </cell>
        </row>
        <row r="76">
          <cell r="I76">
            <v>0</v>
          </cell>
          <cell r="M76">
            <v>0</v>
          </cell>
          <cell r="N76">
            <v>0</v>
          </cell>
          <cell r="Q76">
            <v>0</v>
          </cell>
          <cell r="S76">
            <v>0</v>
          </cell>
        </row>
        <row r="77">
          <cell r="I77">
            <v>2072</v>
          </cell>
          <cell r="M77">
            <v>0</v>
          </cell>
          <cell r="N77">
            <v>0</v>
          </cell>
          <cell r="Q77">
            <v>0</v>
          </cell>
          <cell r="S77">
            <v>0</v>
          </cell>
        </row>
        <row r="78">
          <cell r="I78">
            <v>0</v>
          </cell>
          <cell r="M78">
            <v>0</v>
          </cell>
          <cell r="N78">
            <v>0</v>
          </cell>
          <cell r="Q78">
            <v>0</v>
          </cell>
          <cell r="S78">
            <v>0</v>
          </cell>
        </row>
        <row r="79">
          <cell r="I79">
            <v>0</v>
          </cell>
          <cell r="M79">
            <v>0</v>
          </cell>
          <cell r="N79">
            <v>0</v>
          </cell>
          <cell r="Q79">
            <v>0</v>
          </cell>
          <cell r="S79">
            <v>0</v>
          </cell>
        </row>
        <row r="80">
          <cell r="I80">
            <v>0</v>
          </cell>
          <cell r="M80">
            <v>1025</v>
          </cell>
          <cell r="N80">
            <v>439</v>
          </cell>
          <cell r="Q80">
            <v>0</v>
          </cell>
          <cell r="S80">
            <v>0</v>
          </cell>
        </row>
        <row r="81">
          <cell r="I81">
            <v>0</v>
          </cell>
          <cell r="M81">
            <v>3074</v>
          </cell>
          <cell r="N81">
            <v>1318</v>
          </cell>
          <cell r="Q81">
            <v>0</v>
          </cell>
          <cell r="S81">
            <v>0</v>
          </cell>
        </row>
        <row r="82">
          <cell r="I82">
            <v>0</v>
          </cell>
          <cell r="M82">
            <v>1025</v>
          </cell>
          <cell r="N82">
            <v>439</v>
          </cell>
          <cell r="Q82">
            <v>0</v>
          </cell>
          <cell r="S82">
            <v>0</v>
          </cell>
        </row>
        <row r="83">
          <cell r="I83">
            <v>0</v>
          </cell>
          <cell r="M83">
            <v>0</v>
          </cell>
          <cell r="N83">
            <v>0</v>
          </cell>
          <cell r="Q83">
            <v>0</v>
          </cell>
          <cell r="S83">
            <v>0</v>
          </cell>
        </row>
        <row r="84">
          <cell r="I84">
            <v>0</v>
          </cell>
          <cell r="M84">
            <v>2050</v>
          </cell>
          <cell r="N84">
            <v>878</v>
          </cell>
          <cell r="Q84">
            <v>0</v>
          </cell>
          <cell r="S84">
            <v>0</v>
          </cell>
        </row>
        <row r="85">
          <cell r="I85">
            <v>0</v>
          </cell>
          <cell r="M85">
            <v>0</v>
          </cell>
          <cell r="N85">
            <v>0</v>
          </cell>
          <cell r="Q85">
            <v>0</v>
          </cell>
          <cell r="S85">
            <v>0</v>
          </cell>
        </row>
        <row r="86">
          <cell r="I86">
            <v>0</v>
          </cell>
          <cell r="M86">
            <v>0</v>
          </cell>
          <cell r="N86">
            <v>0</v>
          </cell>
          <cell r="Q86">
            <v>0</v>
          </cell>
          <cell r="S86">
            <v>0</v>
          </cell>
        </row>
        <row r="87">
          <cell r="I87">
            <v>0</v>
          </cell>
          <cell r="M87">
            <v>0</v>
          </cell>
          <cell r="N87">
            <v>0</v>
          </cell>
          <cell r="Q87">
            <v>0</v>
          </cell>
          <cell r="S87">
            <v>0</v>
          </cell>
        </row>
        <row r="88">
          <cell r="I88">
            <v>0</v>
          </cell>
          <cell r="M88">
            <v>0</v>
          </cell>
          <cell r="N88">
            <v>0</v>
          </cell>
          <cell r="Q88">
            <v>0</v>
          </cell>
          <cell r="S88">
            <v>0</v>
          </cell>
        </row>
        <row r="89">
          <cell r="I89">
            <v>0</v>
          </cell>
          <cell r="M89">
            <v>0</v>
          </cell>
          <cell r="N89">
            <v>0</v>
          </cell>
          <cell r="Q89">
            <v>0</v>
          </cell>
          <cell r="S89">
            <v>0</v>
          </cell>
        </row>
        <row r="90">
          <cell r="I90">
            <v>0</v>
          </cell>
          <cell r="M90">
            <v>0</v>
          </cell>
          <cell r="N90">
            <v>0</v>
          </cell>
          <cell r="Q90">
            <v>0</v>
          </cell>
          <cell r="S90">
            <v>0</v>
          </cell>
        </row>
        <row r="91">
          <cell r="I91">
            <v>0</v>
          </cell>
          <cell r="M91">
            <v>0</v>
          </cell>
          <cell r="N91">
            <v>0</v>
          </cell>
          <cell r="Q91">
            <v>0</v>
          </cell>
          <cell r="S91">
            <v>0</v>
          </cell>
        </row>
        <row r="92">
          <cell r="I92">
            <v>0</v>
          </cell>
          <cell r="M92">
            <v>0</v>
          </cell>
          <cell r="N92">
            <v>0</v>
          </cell>
          <cell r="Q92">
            <v>0</v>
          </cell>
          <cell r="S92">
            <v>0</v>
          </cell>
        </row>
        <row r="93">
          <cell r="I93">
            <v>0</v>
          </cell>
          <cell r="M93">
            <v>0</v>
          </cell>
          <cell r="N93">
            <v>0</v>
          </cell>
          <cell r="Q93">
            <v>0</v>
          </cell>
          <cell r="S93">
            <v>0</v>
          </cell>
        </row>
        <row r="94">
          <cell r="I94">
            <v>0</v>
          </cell>
          <cell r="M94">
            <v>0</v>
          </cell>
          <cell r="N94">
            <v>0</v>
          </cell>
          <cell r="Q94">
            <v>0</v>
          </cell>
          <cell r="S94">
            <v>0</v>
          </cell>
        </row>
        <row r="95">
          <cell r="I95">
            <v>0</v>
          </cell>
          <cell r="M95">
            <v>1025</v>
          </cell>
          <cell r="N95">
            <v>439</v>
          </cell>
          <cell r="Q95">
            <v>0</v>
          </cell>
          <cell r="S95">
            <v>0</v>
          </cell>
        </row>
        <row r="96">
          <cell r="I96">
            <v>0</v>
          </cell>
          <cell r="M96">
            <v>0</v>
          </cell>
          <cell r="N96">
            <v>0</v>
          </cell>
          <cell r="Q96">
            <v>0</v>
          </cell>
          <cell r="S96">
            <v>0</v>
          </cell>
        </row>
        <row r="97">
          <cell r="I97">
            <v>0</v>
          </cell>
          <cell r="M97">
            <v>0</v>
          </cell>
          <cell r="N97">
            <v>0</v>
          </cell>
          <cell r="Q97">
            <v>0</v>
          </cell>
          <cell r="S97">
            <v>0</v>
          </cell>
        </row>
        <row r="98">
          <cell r="I98">
            <v>0</v>
          </cell>
          <cell r="M98">
            <v>0</v>
          </cell>
          <cell r="N98">
            <v>0</v>
          </cell>
          <cell r="Q98">
            <v>0</v>
          </cell>
          <cell r="S98">
            <v>0</v>
          </cell>
        </row>
        <row r="99">
          <cell r="I99">
            <v>0</v>
          </cell>
          <cell r="M99">
            <v>1025</v>
          </cell>
          <cell r="N99">
            <v>439</v>
          </cell>
          <cell r="Q99">
            <v>0</v>
          </cell>
          <cell r="S99">
            <v>0</v>
          </cell>
        </row>
        <row r="100">
          <cell r="I100">
            <v>0</v>
          </cell>
          <cell r="M100">
            <v>1025</v>
          </cell>
          <cell r="N100">
            <v>439</v>
          </cell>
          <cell r="Q100">
            <v>0</v>
          </cell>
          <cell r="S100">
            <v>0</v>
          </cell>
        </row>
        <row r="101">
          <cell r="I101">
            <v>0</v>
          </cell>
          <cell r="M101">
            <v>0</v>
          </cell>
          <cell r="N101">
            <v>0</v>
          </cell>
          <cell r="Q101">
            <v>0</v>
          </cell>
          <cell r="S101">
            <v>0</v>
          </cell>
        </row>
        <row r="102">
          <cell r="I102">
            <v>50</v>
          </cell>
          <cell r="M102">
            <v>0</v>
          </cell>
          <cell r="N102">
            <v>0</v>
          </cell>
          <cell r="Q102">
            <v>0</v>
          </cell>
          <cell r="S102">
            <v>0</v>
          </cell>
        </row>
        <row r="103">
          <cell r="I103">
            <v>0</v>
          </cell>
          <cell r="M103">
            <v>0</v>
          </cell>
          <cell r="N103">
            <v>0</v>
          </cell>
          <cell r="Q103">
            <v>0</v>
          </cell>
          <cell r="S103">
            <v>0</v>
          </cell>
        </row>
        <row r="104">
          <cell r="I104">
            <v>0</v>
          </cell>
          <cell r="M104">
            <v>0</v>
          </cell>
          <cell r="N104">
            <v>0</v>
          </cell>
          <cell r="Q104">
            <v>0</v>
          </cell>
          <cell r="S104">
            <v>0</v>
          </cell>
        </row>
        <row r="105">
          <cell r="I105">
            <v>0</v>
          </cell>
          <cell r="M105">
            <v>0</v>
          </cell>
          <cell r="N105">
            <v>0</v>
          </cell>
          <cell r="Q105">
            <v>0</v>
          </cell>
          <cell r="S105">
            <v>0</v>
          </cell>
        </row>
        <row r="106">
          <cell r="I106">
            <v>0</v>
          </cell>
          <cell r="M106">
            <v>1025</v>
          </cell>
          <cell r="N106">
            <v>439</v>
          </cell>
          <cell r="Q106">
            <v>0</v>
          </cell>
          <cell r="S106">
            <v>0</v>
          </cell>
        </row>
        <row r="107">
          <cell r="I107">
            <v>0</v>
          </cell>
          <cell r="M107">
            <v>0</v>
          </cell>
          <cell r="N107">
            <v>0</v>
          </cell>
          <cell r="Q107">
            <v>0</v>
          </cell>
          <cell r="S107">
            <v>0</v>
          </cell>
        </row>
        <row r="108">
          <cell r="I108">
            <v>0</v>
          </cell>
          <cell r="M108">
            <v>0</v>
          </cell>
          <cell r="N108">
            <v>0</v>
          </cell>
          <cell r="Q108">
            <v>0</v>
          </cell>
          <cell r="S108">
            <v>0</v>
          </cell>
        </row>
        <row r="109">
          <cell r="I109">
            <v>0</v>
          </cell>
          <cell r="M109">
            <v>0</v>
          </cell>
          <cell r="N109">
            <v>0</v>
          </cell>
          <cell r="Q109">
            <v>0</v>
          </cell>
          <cell r="S109">
            <v>0</v>
          </cell>
        </row>
        <row r="110">
          <cell r="I110">
            <v>0</v>
          </cell>
          <cell r="M110">
            <v>0</v>
          </cell>
          <cell r="N110">
            <v>0</v>
          </cell>
          <cell r="Q110">
            <v>0</v>
          </cell>
          <cell r="S110">
            <v>0</v>
          </cell>
        </row>
        <row r="111">
          <cell r="I111">
            <v>0</v>
          </cell>
          <cell r="M111">
            <v>0</v>
          </cell>
          <cell r="N111">
            <v>0</v>
          </cell>
          <cell r="Q111">
            <v>0</v>
          </cell>
          <cell r="S111">
            <v>0</v>
          </cell>
        </row>
        <row r="112">
          <cell r="I112">
            <v>0</v>
          </cell>
          <cell r="M112">
            <v>0</v>
          </cell>
          <cell r="N112">
            <v>0</v>
          </cell>
          <cell r="Q112">
            <v>0</v>
          </cell>
          <cell r="S112">
            <v>0</v>
          </cell>
        </row>
        <row r="113">
          <cell r="I113">
            <v>0</v>
          </cell>
          <cell r="M113">
            <v>0</v>
          </cell>
          <cell r="N113">
            <v>0</v>
          </cell>
          <cell r="Q113">
            <v>0</v>
          </cell>
          <cell r="S113">
            <v>0</v>
          </cell>
        </row>
        <row r="114">
          <cell r="I114">
            <v>0</v>
          </cell>
          <cell r="M114">
            <v>0</v>
          </cell>
          <cell r="N114">
            <v>0</v>
          </cell>
          <cell r="Q114">
            <v>0</v>
          </cell>
          <cell r="S114">
            <v>0</v>
          </cell>
        </row>
        <row r="115">
          <cell r="I115">
            <v>0</v>
          </cell>
          <cell r="M115">
            <v>0</v>
          </cell>
          <cell r="N115">
            <v>0</v>
          </cell>
          <cell r="Q115">
            <v>0</v>
          </cell>
          <cell r="S115">
            <v>0</v>
          </cell>
        </row>
        <row r="116">
          <cell r="I116">
            <v>0</v>
          </cell>
          <cell r="M116">
            <v>0</v>
          </cell>
          <cell r="N116">
            <v>0</v>
          </cell>
          <cell r="Q116">
            <v>0</v>
          </cell>
          <cell r="S116">
            <v>0</v>
          </cell>
        </row>
        <row r="117">
          <cell r="I117">
            <v>0</v>
          </cell>
          <cell r="M117">
            <v>0</v>
          </cell>
          <cell r="N117">
            <v>0</v>
          </cell>
          <cell r="Q117">
            <v>0</v>
          </cell>
          <cell r="S117">
            <v>0</v>
          </cell>
        </row>
        <row r="118">
          <cell r="I118">
            <v>0</v>
          </cell>
          <cell r="M118">
            <v>0</v>
          </cell>
          <cell r="N118">
            <v>0</v>
          </cell>
          <cell r="Q118">
            <v>0</v>
          </cell>
          <cell r="S118">
            <v>0</v>
          </cell>
        </row>
        <row r="119">
          <cell r="I119">
            <v>0</v>
          </cell>
          <cell r="M119">
            <v>0</v>
          </cell>
          <cell r="N119">
            <v>0</v>
          </cell>
          <cell r="Q119">
            <v>0</v>
          </cell>
          <cell r="S119">
            <v>0</v>
          </cell>
        </row>
        <row r="120">
          <cell r="I120">
            <v>0</v>
          </cell>
          <cell r="M120">
            <v>0</v>
          </cell>
          <cell r="N120">
            <v>0</v>
          </cell>
          <cell r="Q120">
            <v>0</v>
          </cell>
          <cell r="S120">
            <v>0</v>
          </cell>
        </row>
        <row r="121">
          <cell r="I121">
            <v>0</v>
          </cell>
          <cell r="M121">
            <v>0</v>
          </cell>
          <cell r="N121">
            <v>0</v>
          </cell>
          <cell r="Q121">
            <v>0</v>
          </cell>
          <cell r="S121">
            <v>0</v>
          </cell>
        </row>
        <row r="122">
          <cell r="I122">
            <v>0</v>
          </cell>
          <cell r="M122">
            <v>0</v>
          </cell>
          <cell r="N122">
            <v>0</v>
          </cell>
          <cell r="Q122">
            <v>0</v>
          </cell>
          <cell r="S122">
            <v>0</v>
          </cell>
        </row>
        <row r="123">
          <cell r="I123">
            <v>0</v>
          </cell>
          <cell r="M123">
            <v>0</v>
          </cell>
          <cell r="N123">
            <v>0</v>
          </cell>
          <cell r="Q123">
            <v>0</v>
          </cell>
          <cell r="S123">
            <v>0</v>
          </cell>
        </row>
        <row r="124">
          <cell r="I124">
            <v>0</v>
          </cell>
          <cell r="M124">
            <v>0</v>
          </cell>
          <cell r="N124">
            <v>0</v>
          </cell>
          <cell r="Q124">
            <v>0</v>
          </cell>
          <cell r="S124">
            <v>0</v>
          </cell>
        </row>
        <row r="125">
          <cell r="I125">
            <v>0</v>
          </cell>
          <cell r="M125">
            <v>0</v>
          </cell>
          <cell r="N125">
            <v>0</v>
          </cell>
          <cell r="Q125">
            <v>0</v>
          </cell>
          <cell r="S125">
            <v>0</v>
          </cell>
        </row>
        <row r="126">
          <cell r="I126">
            <v>0</v>
          </cell>
          <cell r="M126">
            <v>0</v>
          </cell>
          <cell r="N126">
            <v>0</v>
          </cell>
          <cell r="Q126">
            <v>0</v>
          </cell>
          <cell r="S126">
            <v>0</v>
          </cell>
        </row>
        <row r="127">
          <cell r="I127">
            <v>0</v>
          </cell>
          <cell r="M127">
            <v>0</v>
          </cell>
          <cell r="N127">
            <v>0</v>
          </cell>
          <cell r="Q127">
            <v>0</v>
          </cell>
          <cell r="S127">
            <v>0</v>
          </cell>
        </row>
        <row r="128">
          <cell r="I128">
            <v>0</v>
          </cell>
          <cell r="M128">
            <v>0</v>
          </cell>
          <cell r="N128">
            <v>0</v>
          </cell>
          <cell r="Q128">
            <v>0</v>
          </cell>
          <cell r="S128">
            <v>0</v>
          </cell>
        </row>
        <row r="129">
          <cell r="I129">
            <v>0</v>
          </cell>
          <cell r="M129">
            <v>0</v>
          </cell>
          <cell r="N129">
            <v>0</v>
          </cell>
          <cell r="Q129">
            <v>0</v>
          </cell>
          <cell r="S129">
            <v>0</v>
          </cell>
        </row>
        <row r="130">
          <cell r="I130">
            <v>0</v>
          </cell>
          <cell r="M130">
            <v>0</v>
          </cell>
          <cell r="N130">
            <v>0</v>
          </cell>
          <cell r="Q130">
            <v>0</v>
          </cell>
          <cell r="S130">
            <v>0</v>
          </cell>
        </row>
        <row r="131">
          <cell r="I131">
            <v>0</v>
          </cell>
          <cell r="M131">
            <v>0</v>
          </cell>
          <cell r="N131">
            <v>0</v>
          </cell>
          <cell r="Q131">
            <v>0</v>
          </cell>
          <cell r="S131">
            <v>300</v>
          </cell>
        </row>
        <row r="132">
          <cell r="I132">
            <v>0</v>
          </cell>
          <cell r="M132">
            <v>0</v>
          </cell>
          <cell r="N132">
            <v>0</v>
          </cell>
          <cell r="Q132">
            <v>1695</v>
          </cell>
          <cell r="S132">
            <v>0</v>
          </cell>
        </row>
        <row r="133">
          <cell r="I133">
            <v>0</v>
          </cell>
          <cell r="M133">
            <v>0</v>
          </cell>
          <cell r="N133">
            <v>0</v>
          </cell>
          <cell r="Q133">
            <v>0</v>
          </cell>
          <cell r="S133">
            <v>0</v>
          </cell>
        </row>
        <row r="134">
          <cell r="I134">
            <v>0</v>
          </cell>
          <cell r="M134">
            <v>0</v>
          </cell>
          <cell r="N134">
            <v>0</v>
          </cell>
          <cell r="Q134">
            <v>0</v>
          </cell>
          <cell r="S134">
            <v>0</v>
          </cell>
        </row>
        <row r="135">
          <cell r="I135">
            <v>0</v>
          </cell>
          <cell r="M135">
            <v>0</v>
          </cell>
          <cell r="N135">
            <v>0</v>
          </cell>
          <cell r="Q135">
            <v>0</v>
          </cell>
          <cell r="S135">
            <v>0</v>
          </cell>
        </row>
        <row r="136">
          <cell r="I136">
            <v>0</v>
          </cell>
          <cell r="M136">
            <v>0</v>
          </cell>
          <cell r="N136">
            <v>0</v>
          </cell>
          <cell r="Q136">
            <v>0</v>
          </cell>
          <cell r="S136">
            <v>0</v>
          </cell>
        </row>
        <row r="137">
          <cell r="I137">
            <v>0</v>
          </cell>
          <cell r="M137">
            <v>3074</v>
          </cell>
          <cell r="N137">
            <v>1318</v>
          </cell>
          <cell r="Q137">
            <v>0</v>
          </cell>
          <cell r="S137">
            <v>0</v>
          </cell>
        </row>
        <row r="138">
          <cell r="I138">
            <v>0</v>
          </cell>
          <cell r="M138">
            <v>0</v>
          </cell>
          <cell r="N138">
            <v>0</v>
          </cell>
          <cell r="Q138">
            <v>0</v>
          </cell>
          <cell r="S138">
            <v>0</v>
          </cell>
        </row>
        <row r="139">
          <cell r="I139">
            <v>0</v>
          </cell>
          <cell r="M139">
            <v>1025</v>
          </cell>
          <cell r="N139">
            <v>439</v>
          </cell>
          <cell r="Q139">
            <v>0</v>
          </cell>
          <cell r="S139">
            <v>0</v>
          </cell>
        </row>
        <row r="140">
          <cell r="I140">
            <v>0</v>
          </cell>
          <cell r="M140">
            <v>0</v>
          </cell>
          <cell r="N140">
            <v>0</v>
          </cell>
          <cell r="Q140">
            <v>0</v>
          </cell>
          <cell r="S140">
            <v>0</v>
          </cell>
        </row>
        <row r="141">
          <cell r="I141">
            <v>0</v>
          </cell>
          <cell r="M141">
            <v>0</v>
          </cell>
          <cell r="N141">
            <v>0</v>
          </cell>
          <cell r="Q141">
            <v>3229</v>
          </cell>
          <cell r="S141">
            <v>0</v>
          </cell>
        </row>
        <row r="142">
          <cell r="I142">
            <v>0</v>
          </cell>
          <cell r="M142">
            <v>0</v>
          </cell>
          <cell r="N142">
            <v>0</v>
          </cell>
          <cell r="Q142">
            <v>0</v>
          </cell>
          <cell r="S142">
            <v>0</v>
          </cell>
        </row>
        <row r="143">
          <cell r="I143">
            <v>0</v>
          </cell>
          <cell r="M143">
            <v>0</v>
          </cell>
          <cell r="N143">
            <v>0</v>
          </cell>
          <cell r="Q143">
            <v>0</v>
          </cell>
          <cell r="S143">
            <v>0</v>
          </cell>
        </row>
        <row r="144">
          <cell r="I144">
            <v>0</v>
          </cell>
          <cell r="M144">
            <v>0</v>
          </cell>
          <cell r="N144">
            <v>0</v>
          </cell>
          <cell r="Q144">
            <v>0</v>
          </cell>
          <cell r="S144">
            <v>0</v>
          </cell>
        </row>
        <row r="145">
          <cell r="I145">
            <v>0</v>
          </cell>
          <cell r="M145">
            <v>0</v>
          </cell>
          <cell r="N145">
            <v>0</v>
          </cell>
          <cell r="Q145">
            <v>0</v>
          </cell>
          <cell r="S145">
            <v>0</v>
          </cell>
        </row>
        <row r="146">
          <cell r="I146">
            <v>0</v>
          </cell>
          <cell r="M146">
            <v>0</v>
          </cell>
          <cell r="N146">
            <v>0</v>
          </cell>
          <cell r="Q146">
            <v>0</v>
          </cell>
          <cell r="S146">
            <v>0</v>
          </cell>
        </row>
        <row r="147">
          <cell r="I147">
            <v>0</v>
          </cell>
          <cell r="M147">
            <v>0</v>
          </cell>
          <cell r="N147">
            <v>0</v>
          </cell>
          <cell r="Q147">
            <v>0</v>
          </cell>
          <cell r="S147">
            <v>0</v>
          </cell>
        </row>
        <row r="148">
          <cell r="I148">
            <v>0</v>
          </cell>
          <cell r="M148">
            <v>0</v>
          </cell>
          <cell r="N148">
            <v>0</v>
          </cell>
          <cell r="Q148">
            <v>0</v>
          </cell>
          <cell r="S148">
            <v>0</v>
          </cell>
        </row>
      </sheetData>
      <sheetData sheetId="2" refreshError="1"/>
      <sheetData sheetId="3">
        <row r="11">
          <cell r="K11">
            <v>100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. диабета(Пр.20-23)"/>
      <sheetName val="Откл.Пр.3-24-Пр.20-23"/>
      <sheetName val="Школа сахар. диабета (Пр.3-24)"/>
      <sheetName val="Школа сахар. диабета Пр.5-24"/>
      <sheetName val="Откл.Пр.5-24-Пр.3-24"/>
    </sheetNames>
    <sheetDataSet>
      <sheetData sheetId="0">
        <row r="9">
          <cell r="E9">
            <v>0</v>
          </cell>
          <cell r="G9">
            <v>6</v>
          </cell>
        </row>
        <row r="10">
          <cell r="G10">
            <v>4</v>
          </cell>
        </row>
        <row r="11">
          <cell r="G11">
            <v>24</v>
          </cell>
        </row>
        <row r="12">
          <cell r="G12">
            <v>0</v>
          </cell>
        </row>
        <row r="13">
          <cell r="G13">
            <v>6</v>
          </cell>
        </row>
        <row r="14">
          <cell r="G14">
            <v>70</v>
          </cell>
        </row>
        <row r="15">
          <cell r="G15">
            <v>15</v>
          </cell>
        </row>
        <row r="16">
          <cell r="G16">
            <v>4</v>
          </cell>
        </row>
        <row r="17">
          <cell r="G17">
            <v>9</v>
          </cell>
        </row>
        <row r="18">
          <cell r="G18">
            <v>10</v>
          </cell>
        </row>
        <row r="19">
          <cell r="G19">
            <v>4</v>
          </cell>
        </row>
        <row r="20">
          <cell r="G20">
            <v>12</v>
          </cell>
        </row>
        <row r="21">
          <cell r="G21">
            <v>0</v>
          </cell>
        </row>
        <row r="22">
          <cell r="G22">
            <v>8</v>
          </cell>
        </row>
        <row r="23">
          <cell r="G23">
            <v>19</v>
          </cell>
        </row>
        <row r="24">
          <cell r="G24">
            <v>21</v>
          </cell>
        </row>
        <row r="25">
          <cell r="G25">
            <v>38</v>
          </cell>
        </row>
        <row r="26">
          <cell r="G26">
            <v>0</v>
          </cell>
        </row>
        <row r="27">
          <cell r="G27">
            <v>3</v>
          </cell>
        </row>
        <row r="28">
          <cell r="G28">
            <v>28</v>
          </cell>
        </row>
        <row r="29">
          <cell r="G29">
            <v>31</v>
          </cell>
        </row>
        <row r="30">
          <cell r="G30">
            <v>6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47</v>
          </cell>
        </row>
        <row r="34">
          <cell r="G34">
            <v>84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18</v>
          </cell>
        </row>
        <row r="38">
          <cell r="G38">
            <v>44</v>
          </cell>
        </row>
        <row r="39">
          <cell r="G39">
            <v>6</v>
          </cell>
        </row>
        <row r="40">
          <cell r="G40">
            <v>30</v>
          </cell>
        </row>
        <row r="41">
          <cell r="G41">
            <v>15</v>
          </cell>
        </row>
        <row r="42">
          <cell r="G42">
            <v>35</v>
          </cell>
        </row>
        <row r="43">
          <cell r="G43">
            <v>6</v>
          </cell>
        </row>
        <row r="44">
          <cell r="G44">
            <v>1</v>
          </cell>
        </row>
        <row r="45">
          <cell r="G45">
            <v>8</v>
          </cell>
        </row>
        <row r="46">
          <cell r="G46">
            <v>2</v>
          </cell>
        </row>
        <row r="47">
          <cell r="G47">
            <v>0</v>
          </cell>
        </row>
        <row r="48">
          <cell r="G48">
            <v>40</v>
          </cell>
        </row>
        <row r="49">
          <cell r="G49">
            <v>9</v>
          </cell>
        </row>
        <row r="50">
          <cell r="G50">
            <v>29</v>
          </cell>
        </row>
        <row r="51">
          <cell r="G51">
            <v>5</v>
          </cell>
        </row>
        <row r="52">
          <cell r="G52">
            <v>11</v>
          </cell>
        </row>
        <row r="53">
          <cell r="G53">
            <v>18</v>
          </cell>
        </row>
        <row r="54">
          <cell r="G54">
            <v>3</v>
          </cell>
        </row>
        <row r="55">
          <cell r="G55">
            <v>11</v>
          </cell>
        </row>
        <row r="56">
          <cell r="G56">
            <v>9</v>
          </cell>
        </row>
        <row r="57">
          <cell r="G57">
            <v>55</v>
          </cell>
        </row>
        <row r="58">
          <cell r="G58">
            <v>6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91</v>
          </cell>
        </row>
        <row r="62">
          <cell r="G62">
            <v>93</v>
          </cell>
        </row>
        <row r="63">
          <cell r="G63">
            <v>91</v>
          </cell>
        </row>
        <row r="64">
          <cell r="G64">
            <v>135</v>
          </cell>
        </row>
        <row r="65">
          <cell r="G65">
            <v>40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43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50</v>
          </cell>
        </row>
        <row r="84">
          <cell r="G84">
            <v>0</v>
          </cell>
        </row>
        <row r="85">
          <cell r="G85">
            <v>0</v>
          </cell>
        </row>
        <row r="86">
          <cell r="G86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8</v>
          </cell>
        </row>
        <row r="95">
          <cell r="G95">
            <v>4</v>
          </cell>
        </row>
        <row r="96">
          <cell r="G96">
            <v>25</v>
          </cell>
        </row>
        <row r="97">
          <cell r="G97">
            <v>3</v>
          </cell>
        </row>
        <row r="98">
          <cell r="G98">
            <v>16</v>
          </cell>
        </row>
        <row r="99">
          <cell r="G99">
            <v>27</v>
          </cell>
        </row>
        <row r="100">
          <cell r="G100">
            <v>22</v>
          </cell>
        </row>
        <row r="101">
          <cell r="G101">
            <v>13</v>
          </cell>
        </row>
        <row r="102">
          <cell r="G102">
            <v>8</v>
          </cell>
        </row>
        <row r="103">
          <cell r="G103">
            <v>4</v>
          </cell>
        </row>
        <row r="104">
          <cell r="G104">
            <v>13</v>
          </cell>
        </row>
        <row r="105">
          <cell r="G105">
            <v>12</v>
          </cell>
        </row>
        <row r="106">
          <cell r="G106">
            <v>6</v>
          </cell>
        </row>
        <row r="107">
          <cell r="G107">
            <v>17</v>
          </cell>
        </row>
        <row r="108">
          <cell r="G108">
            <v>10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32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</sheetData>
      <sheetData sheetId="1">
        <row r="15">
          <cell r="E15">
            <v>-39</v>
          </cell>
        </row>
        <row r="20">
          <cell r="G20">
            <v>-12</v>
          </cell>
        </row>
        <row r="64">
          <cell r="G64">
            <v>12</v>
          </cell>
        </row>
      </sheetData>
      <sheetData sheetId="2"/>
      <sheetData sheetId="3"/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V"/>
      <sheetName val="Консульт анализ"/>
      <sheetName val="СВОД (расчетная)"/>
      <sheetName val="КВД, БГМУ"/>
      <sheetName val="N-в дети_вз 2023"/>
      <sheetName val="КП к распределению"/>
      <sheetName val="по мероприятиям"/>
      <sheetName val="табл ПГГ 2021"/>
      <sheetName val="аналитика"/>
      <sheetName val="диализ 2024"/>
      <sheetName val="АЦКТ на 2021 !!!"/>
      <sheetName val="ЖК г. Уфа"/>
      <sheetName val="Консультативные"/>
      <sheetName val="АПУ (по мероприятиям)"/>
      <sheetName val="Нормативы"/>
      <sheetName val="АЦКТ 2024"/>
      <sheetName val="Стомат 23 г."/>
      <sheetName val="ЦЗ"/>
      <sheetName val="ЦЗ _дети+взр"/>
      <sheetName val="ЦЗ (МОБИЛЬНЫЕ)"/>
      <sheetName val="ЦЗ Перерасп(Мобильн)"/>
      <sheetName val="РСП"/>
      <sheetName val="Гериатрия"/>
      <sheetName val="Стоматология г. Уфа"/>
      <sheetName val="Диализ"/>
      <sheetName val="БСМП"/>
      <sheetName val="Аллергология"/>
      <sheetName val="Сурдология"/>
      <sheetName val="Гематология"/>
      <sheetName val="Ревматология"/>
      <sheetName val="Колопроктология"/>
      <sheetName val="Ревматология (проект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Медицинская помощь, оказываемая в центрах здоровья, на 2024 год.</v>
          </cell>
        </row>
        <row r="3">
          <cell r="A3" t="str">
            <v>Реестровый номер МО</v>
          </cell>
          <cell r="B3" t="str">
            <v>Наименование медицинской организации</v>
          </cell>
          <cell r="C3" t="str">
            <v>Всего</v>
          </cell>
          <cell r="D3" t="str">
            <v>в том числе:</v>
          </cell>
          <cell r="F3" t="str">
            <v>из них:</v>
          </cell>
        </row>
        <row r="4">
          <cell r="F4" t="str">
            <v>Взрослое население</v>
          </cell>
          <cell r="I4" t="str">
            <v>Детское население</v>
          </cell>
        </row>
        <row r="5">
          <cell r="D5" t="str">
            <v>первичное посещение</v>
          </cell>
          <cell r="E5" t="str">
            <v>динамическое наблюдение (комплексное)</v>
          </cell>
          <cell r="F5" t="str">
            <v>всего</v>
          </cell>
          <cell r="G5" t="str">
            <v>первичное посещение</v>
          </cell>
          <cell r="H5" t="str">
            <v>динамическое наблюдение (комплексное)</v>
          </cell>
          <cell r="I5" t="str">
            <v>всего</v>
          </cell>
          <cell r="J5" t="str">
            <v>первичное посещение</v>
          </cell>
          <cell r="K5" t="str">
            <v>динамическое наблюдение (комплексное)</v>
          </cell>
        </row>
        <row r="7">
          <cell r="B7">
            <v>1</v>
          </cell>
          <cell r="C7" t="str">
            <v>2=3+4</v>
          </cell>
          <cell r="D7" t="str">
            <v>3=5+7</v>
          </cell>
          <cell r="E7" t="str">
            <v>4=6+8</v>
          </cell>
          <cell r="G7">
            <v>5</v>
          </cell>
          <cell r="H7">
            <v>6</v>
          </cell>
          <cell r="J7">
            <v>7</v>
          </cell>
          <cell r="K7">
            <v>8</v>
          </cell>
        </row>
        <row r="8">
          <cell r="A8" t="str">
            <v>024005</v>
          </cell>
          <cell r="B8" t="str">
            <v>ГБУЗ РБ Белорецкая ЦРКБ</v>
          </cell>
          <cell r="C8">
            <v>13903</v>
          </cell>
          <cell r="D8">
            <v>11122</v>
          </cell>
          <cell r="E8">
            <v>2781</v>
          </cell>
          <cell r="F8">
            <v>10445</v>
          </cell>
          <cell r="G8">
            <v>8356</v>
          </cell>
          <cell r="H8">
            <v>2089</v>
          </cell>
          <cell r="I8">
            <v>3458</v>
          </cell>
          <cell r="J8">
            <v>2766</v>
          </cell>
          <cell r="K8">
            <v>692</v>
          </cell>
        </row>
        <row r="9">
          <cell r="A9" t="str">
            <v>025001</v>
          </cell>
          <cell r="B9" t="str">
            <v>ГБУЗ РБ Бирская ЦРБ</v>
          </cell>
          <cell r="C9">
            <v>9006</v>
          </cell>
          <cell r="D9">
            <v>7205</v>
          </cell>
          <cell r="E9">
            <v>1801</v>
          </cell>
          <cell r="F9">
            <v>7054</v>
          </cell>
          <cell r="G9">
            <v>5643</v>
          </cell>
          <cell r="H9">
            <v>1411</v>
          </cell>
          <cell r="I9">
            <v>1952</v>
          </cell>
          <cell r="J9">
            <v>1562</v>
          </cell>
          <cell r="K9">
            <v>390</v>
          </cell>
        </row>
        <row r="10">
          <cell r="A10" t="str">
            <v>021111</v>
          </cell>
          <cell r="B10" t="str">
            <v>ГБУЗ РБ ГБ г.Кумертау</v>
          </cell>
          <cell r="C10">
            <v>7702</v>
          </cell>
          <cell r="D10">
            <v>6161</v>
          </cell>
          <cell r="E10">
            <v>1541</v>
          </cell>
          <cell r="F10">
            <v>6013</v>
          </cell>
          <cell r="G10">
            <v>4810</v>
          </cell>
          <cell r="H10">
            <v>1203</v>
          </cell>
          <cell r="I10">
            <v>1689</v>
          </cell>
          <cell r="J10">
            <v>1351</v>
          </cell>
          <cell r="K10">
            <v>338</v>
          </cell>
        </row>
        <row r="11">
          <cell r="A11" t="str">
            <v>026001</v>
          </cell>
          <cell r="B11" t="str">
            <v>ГБУЗ РБ Месягутовская ЦРБ</v>
          </cell>
          <cell r="C11">
            <v>6135</v>
          </cell>
          <cell r="D11">
            <v>4908</v>
          </cell>
          <cell r="E11">
            <v>1227</v>
          </cell>
          <cell r="F11">
            <v>4665</v>
          </cell>
          <cell r="G11">
            <v>3732</v>
          </cell>
          <cell r="H11">
            <v>933</v>
          </cell>
          <cell r="I11">
            <v>1470</v>
          </cell>
          <cell r="J11">
            <v>1176</v>
          </cell>
          <cell r="K11">
            <v>294</v>
          </cell>
        </row>
        <row r="12">
          <cell r="A12" t="str">
            <v>021201</v>
          </cell>
          <cell r="B12" t="str">
            <v>ГБУЗ РБ ГБ г.Нефтекамск</v>
          </cell>
          <cell r="C12">
            <v>15929</v>
          </cell>
          <cell r="D12">
            <v>12744</v>
          </cell>
          <cell r="E12">
            <v>3185</v>
          </cell>
          <cell r="F12">
            <v>12272</v>
          </cell>
          <cell r="G12">
            <v>9818</v>
          </cell>
          <cell r="H12">
            <v>2454</v>
          </cell>
          <cell r="I12">
            <v>3657</v>
          </cell>
          <cell r="J12">
            <v>2926</v>
          </cell>
          <cell r="K12">
            <v>731</v>
          </cell>
        </row>
        <row r="13">
          <cell r="A13" t="str">
            <v>021502</v>
          </cell>
          <cell r="B13" t="str">
            <v>ГБУЗ РБ ЦГБ г.Сибай</v>
          </cell>
          <cell r="C13">
            <v>9013</v>
          </cell>
          <cell r="D13">
            <v>7211</v>
          </cell>
          <cell r="E13">
            <v>1802</v>
          </cell>
          <cell r="F13">
            <v>6691</v>
          </cell>
          <cell r="G13">
            <v>5353</v>
          </cell>
          <cell r="H13">
            <v>1338</v>
          </cell>
          <cell r="I13">
            <v>2322</v>
          </cell>
          <cell r="J13">
            <v>1858</v>
          </cell>
          <cell r="K13">
            <v>464</v>
          </cell>
        </row>
        <row r="14">
          <cell r="A14" t="str">
            <v>021601</v>
          </cell>
          <cell r="B14" t="str">
            <v>ГБУЗ РБ ГКБ №1 города Стерлитамак</v>
          </cell>
          <cell r="C14">
            <v>20249</v>
          </cell>
          <cell r="D14">
            <v>16199</v>
          </cell>
          <cell r="E14">
            <v>4050</v>
          </cell>
          <cell r="F14">
            <v>20249</v>
          </cell>
          <cell r="G14">
            <v>16199</v>
          </cell>
          <cell r="H14">
            <v>4050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021303</v>
          </cell>
          <cell r="B15" t="str">
            <v>ГБУЗ РБ ГБ №1 г.Октябрьский</v>
          </cell>
          <cell r="C15">
            <v>21611</v>
          </cell>
          <cell r="D15">
            <v>17289</v>
          </cell>
          <cell r="E15">
            <v>4322</v>
          </cell>
          <cell r="F15">
            <v>19062</v>
          </cell>
          <cell r="G15">
            <v>15250</v>
          </cell>
          <cell r="H15">
            <v>3812</v>
          </cell>
          <cell r="I15">
            <v>2549</v>
          </cell>
          <cell r="J15">
            <v>2039</v>
          </cell>
          <cell r="K15">
            <v>510</v>
          </cell>
        </row>
        <row r="16">
          <cell r="A16" t="str">
            <v>022124</v>
          </cell>
          <cell r="B16" t="str">
            <v>ГБУЗ РВФД</v>
          </cell>
          <cell r="C16">
            <v>9962</v>
          </cell>
          <cell r="D16">
            <v>7969</v>
          </cell>
          <cell r="E16">
            <v>1993</v>
          </cell>
          <cell r="F16">
            <v>8619</v>
          </cell>
          <cell r="G16">
            <v>6895</v>
          </cell>
          <cell r="H16">
            <v>1724</v>
          </cell>
          <cell r="I16">
            <v>1343</v>
          </cell>
          <cell r="J16">
            <v>1074</v>
          </cell>
          <cell r="K16">
            <v>269</v>
          </cell>
        </row>
        <row r="17">
          <cell r="A17" t="str">
            <v>021616</v>
          </cell>
          <cell r="B17" t="str">
            <v>ГБУЗ РБ ДБ г.Стерлитамак</v>
          </cell>
          <cell r="C17">
            <v>5982</v>
          </cell>
          <cell r="D17">
            <v>4786</v>
          </cell>
          <cell r="E17">
            <v>1196</v>
          </cell>
          <cell r="F17">
            <v>0</v>
          </cell>
          <cell r="G17">
            <v>0</v>
          </cell>
          <cell r="H17">
            <v>0</v>
          </cell>
          <cell r="I17">
            <v>5982</v>
          </cell>
          <cell r="J17">
            <v>4786</v>
          </cell>
          <cell r="K17">
            <v>1196</v>
          </cell>
        </row>
        <row r="18">
          <cell r="A18" t="str">
            <v>027001</v>
          </cell>
          <cell r="B18" t="str">
            <v>ГБУЗ РБ Дюртюлинская ЦРБ</v>
          </cell>
          <cell r="C18">
            <v>8013</v>
          </cell>
          <cell r="D18">
            <v>6411</v>
          </cell>
          <cell r="E18">
            <v>1602</v>
          </cell>
          <cell r="F18">
            <v>6287</v>
          </cell>
          <cell r="G18">
            <v>5030</v>
          </cell>
          <cell r="H18">
            <v>1257</v>
          </cell>
          <cell r="I18">
            <v>1726</v>
          </cell>
          <cell r="J18">
            <v>1381</v>
          </cell>
          <cell r="K18">
            <v>345</v>
          </cell>
        </row>
        <row r="19">
          <cell r="A19" t="str">
            <v>029001</v>
          </cell>
          <cell r="B19" t="str">
            <v>ГБУЗ РБ Ишимбайская ЦРБ</v>
          </cell>
          <cell r="C19">
            <v>4844</v>
          </cell>
          <cell r="D19">
            <v>3876</v>
          </cell>
          <cell r="E19">
            <v>968</v>
          </cell>
          <cell r="F19">
            <v>3762</v>
          </cell>
          <cell r="G19">
            <v>3010</v>
          </cell>
          <cell r="H19">
            <v>752</v>
          </cell>
          <cell r="I19">
            <v>1082</v>
          </cell>
          <cell r="J19">
            <v>866</v>
          </cell>
          <cell r="K19">
            <v>216</v>
          </cell>
        </row>
        <row r="20">
          <cell r="A20" t="str">
            <v>021424</v>
          </cell>
          <cell r="B20" t="str">
            <v>ГБУЗ РБ ГБ г.Салават</v>
          </cell>
          <cell r="C20">
            <v>13690</v>
          </cell>
          <cell r="D20">
            <v>10952</v>
          </cell>
          <cell r="E20">
            <v>2738</v>
          </cell>
          <cell r="F20">
            <v>10832</v>
          </cell>
          <cell r="G20">
            <v>8666</v>
          </cell>
          <cell r="H20">
            <v>2166</v>
          </cell>
          <cell r="I20">
            <v>2858</v>
          </cell>
          <cell r="J20">
            <v>2286</v>
          </cell>
          <cell r="K20">
            <v>572</v>
          </cell>
        </row>
        <row r="21">
          <cell r="A21" t="str">
            <v>021701</v>
          </cell>
          <cell r="B21" t="str">
            <v>ГБУЗ РБ Туймазинская ЦРБ</v>
          </cell>
          <cell r="C21">
            <v>2952</v>
          </cell>
          <cell r="D21">
            <v>2362</v>
          </cell>
          <cell r="E21">
            <v>590</v>
          </cell>
          <cell r="F21">
            <v>0</v>
          </cell>
          <cell r="G21">
            <v>0</v>
          </cell>
          <cell r="H21">
            <v>0</v>
          </cell>
          <cell r="I21">
            <v>2952</v>
          </cell>
          <cell r="J21">
            <v>2362</v>
          </cell>
          <cell r="K21">
            <v>590</v>
          </cell>
        </row>
        <row r="22">
          <cell r="A22" t="str">
            <v>021120</v>
          </cell>
          <cell r="B22" t="str">
            <v>ГБУЗ РБ Детская поликлиника №5 г.Уфа</v>
          </cell>
          <cell r="C22">
            <v>8948</v>
          </cell>
          <cell r="D22">
            <v>7158</v>
          </cell>
          <cell r="E22">
            <v>1790</v>
          </cell>
          <cell r="F22">
            <v>0</v>
          </cell>
          <cell r="G22">
            <v>0</v>
          </cell>
          <cell r="H22">
            <v>0</v>
          </cell>
          <cell r="I22">
            <v>8948</v>
          </cell>
          <cell r="J22">
            <v>7158</v>
          </cell>
          <cell r="K22">
            <v>1790</v>
          </cell>
        </row>
        <row r="23">
          <cell r="A23" t="str">
            <v>029300</v>
          </cell>
          <cell r="B23" t="str">
            <v>ГБУЗ РБ Поликлиника №46 г.Уфа</v>
          </cell>
          <cell r="C23">
            <v>10275</v>
          </cell>
          <cell r="D23">
            <v>8220</v>
          </cell>
          <cell r="E23">
            <v>2055</v>
          </cell>
          <cell r="F23">
            <v>10275</v>
          </cell>
          <cell r="G23">
            <v>8220</v>
          </cell>
          <cell r="H23">
            <v>2055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029400</v>
          </cell>
          <cell r="B24" t="str">
            <v>ГБУЗ РБ ГКБ Демского района г.Уфа</v>
          </cell>
          <cell r="C24">
            <v>11037</v>
          </cell>
          <cell r="D24">
            <v>8829</v>
          </cell>
          <cell r="E24">
            <v>2208</v>
          </cell>
          <cell r="F24">
            <v>8923</v>
          </cell>
          <cell r="G24">
            <v>7138</v>
          </cell>
          <cell r="H24">
            <v>1785</v>
          </cell>
          <cell r="I24">
            <v>2114</v>
          </cell>
          <cell r="J24">
            <v>1691</v>
          </cell>
          <cell r="K24">
            <v>423</v>
          </cell>
        </row>
        <row r="25">
          <cell r="A25" t="str">
            <v>021800</v>
          </cell>
          <cell r="B25" t="str">
            <v>ГБУЗ РБ ГКБ №8 г.Уфа</v>
          </cell>
          <cell r="C25">
            <v>8820</v>
          </cell>
          <cell r="D25">
            <v>7056</v>
          </cell>
          <cell r="E25">
            <v>1764</v>
          </cell>
          <cell r="F25">
            <v>6685</v>
          </cell>
          <cell r="G25">
            <v>5348</v>
          </cell>
          <cell r="H25">
            <v>1337</v>
          </cell>
          <cell r="I25">
            <v>2135</v>
          </cell>
          <cell r="J25">
            <v>1708</v>
          </cell>
          <cell r="K25">
            <v>427</v>
          </cell>
        </row>
        <row r="26">
          <cell r="A26" t="str">
            <v>021200</v>
          </cell>
          <cell r="B26" t="str">
            <v>ГБУЗ РБ ГДКБ №17 г.Уфа</v>
          </cell>
          <cell r="C26">
            <v>6837</v>
          </cell>
          <cell r="D26">
            <v>5470</v>
          </cell>
          <cell r="E26">
            <v>1367</v>
          </cell>
          <cell r="F26">
            <v>0</v>
          </cell>
          <cell r="G26">
            <v>0</v>
          </cell>
          <cell r="H26">
            <v>0</v>
          </cell>
          <cell r="I26">
            <v>6837</v>
          </cell>
          <cell r="J26">
            <v>5470</v>
          </cell>
          <cell r="K26">
            <v>1367</v>
          </cell>
        </row>
        <row r="27">
          <cell r="A27" t="str">
            <v>028000</v>
          </cell>
          <cell r="B27" t="str">
            <v>ГБУЗ РБ ГКБ №18 г.Уфа</v>
          </cell>
          <cell r="C27">
            <v>38440</v>
          </cell>
          <cell r="D27">
            <v>30752</v>
          </cell>
          <cell r="E27">
            <v>7688</v>
          </cell>
          <cell r="F27">
            <v>38440</v>
          </cell>
          <cell r="G27">
            <v>30752</v>
          </cell>
          <cell r="H27">
            <v>7688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Итого</v>
          </cell>
          <cell r="C28">
            <v>233348</v>
          </cell>
          <cell r="D28">
            <v>186680</v>
          </cell>
          <cell r="E28">
            <v>46668</v>
          </cell>
          <cell r="F28">
            <v>180274</v>
          </cell>
          <cell r="G28">
            <v>144220</v>
          </cell>
          <cell r="H28">
            <v>36054</v>
          </cell>
          <cell r="I28">
            <v>53074</v>
          </cell>
          <cell r="J28">
            <v>42460</v>
          </cell>
          <cell r="K28">
            <v>10614</v>
          </cell>
        </row>
        <row r="30">
          <cell r="I30">
            <v>53074</v>
          </cell>
        </row>
        <row r="31">
          <cell r="I3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58"/>
  <sheetViews>
    <sheetView tabSelected="1" zoomScale="90" zoomScaleNormal="90" workbookViewId="0">
      <pane xSplit="4" ySplit="4" topLeftCell="E107" activePane="bottomRight" state="frozen"/>
      <selection activeCell="F306" sqref="F306"/>
      <selection pane="topRight" activeCell="F306" sqref="F306"/>
      <selection pane="bottomLeft" activeCell="F306" sqref="F306"/>
      <selection pane="bottomRight" activeCell="Q126" sqref="Q126"/>
    </sheetView>
  </sheetViews>
  <sheetFormatPr defaultRowHeight="12.75" x14ac:dyDescent="0.2"/>
  <cols>
    <col min="1" max="1" width="8.42578125" style="395" customWidth="1"/>
    <col min="2" max="2" width="11.5703125" style="395" customWidth="1"/>
    <col min="3" max="3" width="35.7109375" style="395" customWidth="1"/>
    <col min="4" max="4" width="9.140625" style="395" customWidth="1"/>
    <col min="5" max="5" width="11.5703125" style="395" customWidth="1"/>
    <col min="6" max="6" width="11.85546875" style="395" customWidth="1"/>
    <col min="7" max="7" width="11.7109375" style="395" customWidth="1"/>
    <col min="8" max="8" width="19.28515625" style="395" customWidth="1"/>
    <col min="9" max="9" width="8.140625" style="431" customWidth="1"/>
    <col min="10" max="10" width="12.140625" style="431" customWidth="1"/>
    <col min="11" max="11" width="11.140625" style="395" customWidth="1"/>
    <col min="12" max="12" width="14.5703125" style="395" customWidth="1"/>
    <col min="13" max="13" width="9.140625" style="396"/>
    <col min="14" max="17" width="9.140625" style="395"/>
    <col min="18" max="18" width="8.7109375" style="395" customWidth="1"/>
    <col min="19" max="19" width="9.140625" style="395" hidden="1" customWidth="1"/>
    <col min="20" max="252" width="9.140625" style="395"/>
    <col min="253" max="253" width="5.5703125" style="395" customWidth="1"/>
    <col min="254" max="254" width="11.5703125" style="395" customWidth="1"/>
    <col min="255" max="255" width="35.7109375" style="395" customWidth="1"/>
    <col min="256" max="256" width="9.140625" style="395" customWidth="1"/>
    <col min="257" max="257" width="11.5703125" style="395" customWidth="1"/>
    <col min="258" max="258" width="15.7109375" style="395" customWidth="1"/>
    <col min="259" max="259" width="13.42578125" style="395" customWidth="1"/>
    <col min="260" max="260" width="19.140625" style="395" customWidth="1"/>
    <col min="261" max="261" width="8.140625" style="395" customWidth="1"/>
    <col min="262" max="262" width="12.140625" style="395" customWidth="1"/>
    <col min="263" max="263" width="14.42578125" style="395" customWidth="1"/>
    <col min="264" max="264" width="13.5703125" style="395" customWidth="1"/>
    <col min="265" max="508" width="9.140625" style="395"/>
    <col min="509" max="509" width="5.5703125" style="395" customWidth="1"/>
    <col min="510" max="510" width="11.5703125" style="395" customWidth="1"/>
    <col min="511" max="511" width="35.7109375" style="395" customWidth="1"/>
    <col min="512" max="512" width="9.140625" style="395" customWidth="1"/>
    <col min="513" max="513" width="11.5703125" style="395" customWidth="1"/>
    <col min="514" max="514" width="15.7109375" style="395" customWidth="1"/>
    <col min="515" max="515" width="13.42578125" style="395" customWidth="1"/>
    <col min="516" max="516" width="19.140625" style="395" customWidth="1"/>
    <col min="517" max="517" width="8.140625" style="395" customWidth="1"/>
    <col min="518" max="518" width="12.140625" style="395" customWidth="1"/>
    <col min="519" max="519" width="14.42578125" style="395" customWidth="1"/>
    <col min="520" max="520" width="13.5703125" style="395" customWidth="1"/>
    <col min="521" max="764" width="9.140625" style="395"/>
    <col min="765" max="765" width="5.5703125" style="395" customWidth="1"/>
    <col min="766" max="766" width="11.5703125" style="395" customWidth="1"/>
    <col min="767" max="767" width="35.7109375" style="395" customWidth="1"/>
    <col min="768" max="768" width="9.140625" style="395" customWidth="1"/>
    <col min="769" max="769" width="11.5703125" style="395" customWidth="1"/>
    <col min="770" max="770" width="15.7109375" style="395" customWidth="1"/>
    <col min="771" max="771" width="13.42578125" style="395" customWidth="1"/>
    <col min="772" max="772" width="19.140625" style="395" customWidth="1"/>
    <col min="773" max="773" width="8.140625" style="395" customWidth="1"/>
    <col min="774" max="774" width="12.140625" style="395" customWidth="1"/>
    <col min="775" max="775" width="14.42578125" style="395" customWidth="1"/>
    <col min="776" max="776" width="13.5703125" style="395" customWidth="1"/>
    <col min="777" max="1020" width="9.140625" style="395"/>
    <col min="1021" max="1021" width="5.5703125" style="395" customWidth="1"/>
    <col min="1022" max="1022" width="11.5703125" style="395" customWidth="1"/>
    <col min="1023" max="1023" width="35.7109375" style="395" customWidth="1"/>
    <col min="1024" max="1024" width="9.140625" style="395" customWidth="1"/>
    <col min="1025" max="1025" width="11.5703125" style="395" customWidth="1"/>
    <col min="1026" max="1026" width="15.7109375" style="395" customWidth="1"/>
    <col min="1027" max="1027" width="13.42578125" style="395" customWidth="1"/>
    <col min="1028" max="1028" width="19.140625" style="395" customWidth="1"/>
    <col min="1029" max="1029" width="8.140625" style="395" customWidth="1"/>
    <col min="1030" max="1030" width="12.140625" style="395" customWidth="1"/>
    <col min="1031" max="1031" width="14.42578125" style="395" customWidth="1"/>
    <col min="1032" max="1032" width="13.5703125" style="395" customWidth="1"/>
    <col min="1033" max="1276" width="9.140625" style="395"/>
    <col min="1277" max="1277" width="5.5703125" style="395" customWidth="1"/>
    <col min="1278" max="1278" width="11.5703125" style="395" customWidth="1"/>
    <col min="1279" max="1279" width="35.7109375" style="395" customWidth="1"/>
    <col min="1280" max="1280" width="9.140625" style="395" customWidth="1"/>
    <col min="1281" max="1281" width="11.5703125" style="395" customWidth="1"/>
    <col min="1282" max="1282" width="15.7109375" style="395" customWidth="1"/>
    <col min="1283" max="1283" width="13.42578125" style="395" customWidth="1"/>
    <col min="1284" max="1284" width="19.140625" style="395" customWidth="1"/>
    <col min="1285" max="1285" width="8.140625" style="395" customWidth="1"/>
    <col min="1286" max="1286" width="12.140625" style="395" customWidth="1"/>
    <col min="1287" max="1287" width="14.42578125" style="395" customWidth="1"/>
    <col min="1288" max="1288" width="13.5703125" style="395" customWidth="1"/>
    <col min="1289" max="1532" width="9.140625" style="395"/>
    <col min="1533" max="1533" width="5.5703125" style="395" customWidth="1"/>
    <col min="1534" max="1534" width="11.5703125" style="395" customWidth="1"/>
    <col min="1535" max="1535" width="35.7109375" style="395" customWidth="1"/>
    <col min="1536" max="1536" width="9.140625" style="395" customWidth="1"/>
    <col min="1537" max="1537" width="11.5703125" style="395" customWidth="1"/>
    <col min="1538" max="1538" width="15.7109375" style="395" customWidth="1"/>
    <col min="1539" max="1539" width="13.42578125" style="395" customWidth="1"/>
    <col min="1540" max="1540" width="19.140625" style="395" customWidth="1"/>
    <col min="1541" max="1541" width="8.140625" style="395" customWidth="1"/>
    <col min="1542" max="1542" width="12.140625" style="395" customWidth="1"/>
    <col min="1543" max="1543" width="14.42578125" style="395" customWidth="1"/>
    <col min="1544" max="1544" width="13.5703125" style="395" customWidth="1"/>
    <col min="1545" max="1788" width="9.140625" style="395"/>
    <col min="1789" max="1789" width="5.5703125" style="395" customWidth="1"/>
    <col min="1790" max="1790" width="11.5703125" style="395" customWidth="1"/>
    <col min="1791" max="1791" width="35.7109375" style="395" customWidth="1"/>
    <col min="1792" max="1792" width="9.140625" style="395" customWidth="1"/>
    <col min="1793" max="1793" width="11.5703125" style="395" customWidth="1"/>
    <col min="1794" max="1794" width="15.7109375" style="395" customWidth="1"/>
    <col min="1795" max="1795" width="13.42578125" style="395" customWidth="1"/>
    <col min="1796" max="1796" width="19.140625" style="395" customWidth="1"/>
    <col min="1797" max="1797" width="8.140625" style="395" customWidth="1"/>
    <col min="1798" max="1798" width="12.140625" style="395" customWidth="1"/>
    <col min="1799" max="1799" width="14.42578125" style="395" customWidth="1"/>
    <col min="1800" max="1800" width="13.5703125" style="395" customWidth="1"/>
    <col min="1801" max="2044" width="9.140625" style="395"/>
    <col min="2045" max="2045" width="5.5703125" style="395" customWidth="1"/>
    <col min="2046" max="2046" width="11.5703125" style="395" customWidth="1"/>
    <col min="2047" max="2047" width="35.7109375" style="395" customWidth="1"/>
    <col min="2048" max="2048" width="9.140625" style="395" customWidth="1"/>
    <col min="2049" max="2049" width="11.5703125" style="395" customWidth="1"/>
    <col min="2050" max="2050" width="15.7109375" style="395" customWidth="1"/>
    <col min="2051" max="2051" width="13.42578125" style="395" customWidth="1"/>
    <col min="2052" max="2052" width="19.140625" style="395" customWidth="1"/>
    <col min="2053" max="2053" width="8.140625" style="395" customWidth="1"/>
    <col min="2054" max="2054" width="12.140625" style="395" customWidth="1"/>
    <col min="2055" max="2055" width="14.42578125" style="395" customWidth="1"/>
    <col min="2056" max="2056" width="13.5703125" style="395" customWidth="1"/>
    <col min="2057" max="2300" width="9.140625" style="395"/>
    <col min="2301" max="2301" width="5.5703125" style="395" customWidth="1"/>
    <col min="2302" max="2302" width="11.5703125" style="395" customWidth="1"/>
    <col min="2303" max="2303" width="35.7109375" style="395" customWidth="1"/>
    <col min="2304" max="2304" width="9.140625" style="395" customWidth="1"/>
    <col min="2305" max="2305" width="11.5703125" style="395" customWidth="1"/>
    <col min="2306" max="2306" width="15.7109375" style="395" customWidth="1"/>
    <col min="2307" max="2307" width="13.42578125" style="395" customWidth="1"/>
    <col min="2308" max="2308" width="19.140625" style="395" customWidth="1"/>
    <col min="2309" max="2309" width="8.140625" style="395" customWidth="1"/>
    <col min="2310" max="2310" width="12.140625" style="395" customWidth="1"/>
    <col min="2311" max="2311" width="14.42578125" style="395" customWidth="1"/>
    <col min="2312" max="2312" width="13.5703125" style="395" customWidth="1"/>
    <col min="2313" max="2556" width="9.140625" style="395"/>
    <col min="2557" max="2557" width="5.5703125" style="395" customWidth="1"/>
    <col min="2558" max="2558" width="11.5703125" style="395" customWidth="1"/>
    <col min="2559" max="2559" width="35.7109375" style="395" customWidth="1"/>
    <col min="2560" max="2560" width="9.140625" style="395" customWidth="1"/>
    <col min="2561" max="2561" width="11.5703125" style="395" customWidth="1"/>
    <col min="2562" max="2562" width="15.7109375" style="395" customWidth="1"/>
    <col min="2563" max="2563" width="13.42578125" style="395" customWidth="1"/>
    <col min="2564" max="2564" width="19.140625" style="395" customWidth="1"/>
    <col min="2565" max="2565" width="8.140625" style="395" customWidth="1"/>
    <col min="2566" max="2566" width="12.140625" style="395" customWidth="1"/>
    <col min="2567" max="2567" width="14.42578125" style="395" customWidth="1"/>
    <col min="2568" max="2568" width="13.5703125" style="395" customWidth="1"/>
    <col min="2569" max="2812" width="9.140625" style="395"/>
    <col min="2813" max="2813" width="5.5703125" style="395" customWidth="1"/>
    <col min="2814" max="2814" width="11.5703125" style="395" customWidth="1"/>
    <col min="2815" max="2815" width="35.7109375" style="395" customWidth="1"/>
    <col min="2816" max="2816" width="9.140625" style="395" customWidth="1"/>
    <col min="2817" max="2817" width="11.5703125" style="395" customWidth="1"/>
    <col min="2818" max="2818" width="15.7109375" style="395" customWidth="1"/>
    <col min="2819" max="2819" width="13.42578125" style="395" customWidth="1"/>
    <col min="2820" max="2820" width="19.140625" style="395" customWidth="1"/>
    <col min="2821" max="2821" width="8.140625" style="395" customWidth="1"/>
    <col min="2822" max="2822" width="12.140625" style="395" customWidth="1"/>
    <col min="2823" max="2823" width="14.42578125" style="395" customWidth="1"/>
    <col min="2824" max="2824" width="13.5703125" style="395" customWidth="1"/>
    <col min="2825" max="3068" width="9.140625" style="395"/>
    <col min="3069" max="3069" width="5.5703125" style="395" customWidth="1"/>
    <col min="3070" max="3070" width="11.5703125" style="395" customWidth="1"/>
    <col min="3071" max="3071" width="35.7109375" style="395" customWidth="1"/>
    <col min="3072" max="3072" width="9.140625" style="395" customWidth="1"/>
    <col min="3073" max="3073" width="11.5703125" style="395" customWidth="1"/>
    <col min="3074" max="3074" width="15.7109375" style="395" customWidth="1"/>
    <col min="3075" max="3075" width="13.42578125" style="395" customWidth="1"/>
    <col min="3076" max="3076" width="19.140625" style="395" customWidth="1"/>
    <col min="3077" max="3077" width="8.140625" style="395" customWidth="1"/>
    <col min="3078" max="3078" width="12.140625" style="395" customWidth="1"/>
    <col min="3079" max="3079" width="14.42578125" style="395" customWidth="1"/>
    <col min="3080" max="3080" width="13.5703125" style="395" customWidth="1"/>
    <col min="3081" max="3324" width="9.140625" style="395"/>
    <col min="3325" max="3325" width="5.5703125" style="395" customWidth="1"/>
    <col min="3326" max="3326" width="11.5703125" style="395" customWidth="1"/>
    <col min="3327" max="3327" width="35.7109375" style="395" customWidth="1"/>
    <col min="3328" max="3328" width="9.140625" style="395" customWidth="1"/>
    <col min="3329" max="3329" width="11.5703125" style="395" customWidth="1"/>
    <col min="3330" max="3330" width="15.7109375" style="395" customWidth="1"/>
    <col min="3331" max="3331" width="13.42578125" style="395" customWidth="1"/>
    <col min="3332" max="3332" width="19.140625" style="395" customWidth="1"/>
    <col min="3333" max="3333" width="8.140625" style="395" customWidth="1"/>
    <col min="3334" max="3334" width="12.140625" style="395" customWidth="1"/>
    <col min="3335" max="3335" width="14.42578125" style="395" customWidth="1"/>
    <col min="3336" max="3336" width="13.5703125" style="395" customWidth="1"/>
    <col min="3337" max="3580" width="9.140625" style="395"/>
    <col min="3581" max="3581" width="5.5703125" style="395" customWidth="1"/>
    <col min="3582" max="3582" width="11.5703125" style="395" customWidth="1"/>
    <col min="3583" max="3583" width="35.7109375" style="395" customWidth="1"/>
    <col min="3584" max="3584" width="9.140625" style="395" customWidth="1"/>
    <col min="3585" max="3585" width="11.5703125" style="395" customWidth="1"/>
    <col min="3586" max="3586" width="15.7109375" style="395" customWidth="1"/>
    <col min="3587" max="3587" width="13.42578125" style="395" customWidth="1"/>
    <col min="3588" max="3588" width="19.140625" style="395" customWidth="1"/>
    <col min="3589" max="3589" width="8.140625" style="395" customWidth="1"/>
    <col min="3590" max="3590" width="12.140625" style="395" customWidth="1"/>
    <col min="3591" max="3591" width="14.42578125" style="395" customWidth="1"/>
    <col min="3592" max="3592" width="13.5703125" style="395" customWidth="1"/>
    <col min="3593" max="3836" width="9.140625" style="395"/>
    <col min="3837" max="3837" width="5.5703125" style="395" customWidth="1"/>
    <col min="3838" max="3838" width="11.5703125" style="395" customWidth="1"/>
    <col min="3839" max="3839" width="35.7109375" style="395" customWidth="1"/>
    <col min="3840" max="3840" width="9.140625" style="395" customWidth="1"/>
    <col min="3841" max="3841" width="11.5703125" style="395" customWidth="1"/>
    <col min="3842" max="3842" width="15.7109375" style="395" customWidth="1"/>
    <col min="3843" max="3843" width="13.42578125" style="395" customWidth="1"/>
    <col min="3844" max="3844" width="19.140625" style="395" customWidth="1"/>
    <col min="3845" max="3845" width="8.140625" style="395" customWidth="1"/>
    <col min="3846" max="3846" width="12.140625" style="395" customWidth="1"/>
    <col min="3847" max="3847" width="14.42578125" style="395" customWidth="1"/>
    <col min="3848" max="3848" width="13.5703125" style="395" customWidth="1"/>
    <col min="3849" max="4092" width="9.140625" style="395"/>
    <col min="4093" max="4093" width="5.5703125" style="395" customWidth="1"/>
    <col min="4094" max="4094" width="11.5703125" style="395" customWidth="1"/>
    <col min="4095" max="4095" width="35.7109375" style="395" customWidth="1"/>
    <col min="4096" max="4096" width="9.140625" style="395" customWidth="1"/>
    <col min="4097" max="4097" width="11.5703125" style="395" customWidth="1"/>
    <col min="4098" max="4098" width="15.7109375" style="395" customWidth="1"/>
    <col min="4099" max="4099" width="13.42578125" style="395" customWidth="1"/>
    <col min="4100" max="4100" width="19.140625" style="395" customWidth="1"/>
    <col min="4101" max="4101" width="8.140625" style="395" customWidth="1"/>
    <col min="4102" max="4102" width="12.140625" style="395" customWidth="1"/>
    <col min="4103" max="4103" width="14.42578125" style="395" customWidth="1"/>
    <col min="4104" max="4104" width="13.5703125" style="395" customWidth="1"/>
    <col min="4105" max="4348" width="9.140625" style="395"/>
    <col min="4349" max="4349" width="5.5703125" style="395" customWidth="1"/>
    <col min="4350" max="4350" width="11.5703125" style="395" customWidth="1"/>
    <col min="4351" max="4351" width="35.7109375" style="395" customWidth="1"/>
    <col min="4352" max="4352" width="9.140625" style="395" customWidth="1"/>
    <col min="4353" max="4353" width="11.5703125" style="395" customWidth="1"/>
    <col min="4354" max="4354" width="15.7109375" style="395" customWidth="1"/>
    <col min="4355" max="4355" width="13.42578125" style="395" customWidth="1"/>
    <col min="4356" max="4356" width="19.140625" style="395" customWidth="1"/>
    <col min="4357" max="4357" width="8.140625" style="395" customWidth="1"/>
    <col min="4358" max="4358" width="12.140625" style="395" customWidth="1"/>
    <col min="4359" max="4359" width="14.42578125" style="395" customWidth="1"/>
    <col min="4360" max="4360" width="13.5703125" style="395" customWidth="1"/>
    <col min="4361" max="4604" width="9.140625" style="395"/>
    <col min="4605" max="4605" width="5.5703125" style="395" customWidth="1"/>
    <col min="4606" max="4606" width="11.5703125" style="395" customWidth="1"/>
    <col min="4607" max="4607" width="35.7109375" style="395" customWidth="1"/>
    <col min="4608" max="4608" width="9.140625" style="395" customWidth="1"/>
    <col min="4609" max="4609" width="11.5703125" style="395" customWidth="1"/>
    <col min="4610" max="4610" width="15.7109375" style="395" customWidth="1"/>
    <col min="4611" max="4611" width="13.42578125" style="395" customWidth="1"/>
    <col min="4612" max="4612" width="19.140625" style="395" customWidth="1"/>
    <col min="4613" max="4613" width="8.140625" style="395" customWidth="1"/>
    <col min="4614" max="4614" width="12.140625" style="395" customWidth="1"/>
    <col min="4615" max="4615" width="14.42578125" style="395" customWidth="1"/>
    <col min="4616" max="4616" width="13.5703125" style="395" customWidth="1"/>
    <col min="4617" max="4860" width="9.140625" style="395"/>
    <col min="4861" max="4861" width="5.5703125" style="395" customWidth="1"/>
    <col min="4862" max="4862" width="11.5703125" style="395" customWidth="1"/>
    <col min="4863" max="4863" width="35.7109375" style="395" customWidth="1"/>
    <col min="4864" max="4864" width="9.140625" style="395" customWidth="1"/>
    <col min="4865" max="4865" width="11.5703125" style="395" customWidth="1"/>
    <col min="4866" max="4866" width="15.7109375" style="395" customWidth="1"/>
    <col min="4867" max="4867" width="13.42578125" style="395" customWidth="1"/>
    <col min="4868" max="4868" width="19.140625" style="395" customWidth="1"/>
    <col min="4869" max="4869" width="8.140625" style="395" customWidth="1"/>
    <col min="4870" max="4870" width="12.140625" style="395" customWidth="1"/>
    <col min="4871" max="4871" width="14.42578125" style="395" customWidth="1"/>
    <col min="4872" max="4872" width="13.5703125" style="395" customWidth="1"/>
    <col min="4873" max="5116" width="9.140625" style="395"/>
    <col min="5117" max="5117" width="5.5703125" style="395" customWidth="1"/>
    <col min="5118" max="5118" width="11.5703125" style="395" customWidth="1"/>
    <col min="5119" max="5119" width="35.7109375" style="395" customWidth="1"/>
    <col min="5120" max="5120" width="9.140625" style="395" customWidth="1"/>
    <col min="5121" max="5121" width="11.5703125" style="395" customWidth="1"/>
    <col min="5122" max="5122" width="15.7109375" style="395" customWidth="1"/>
    <col min="5123" max="5123" width="13.42578125" style="395" customWidth="1"/>
    <col min="5124" max="5124" width="19.140625" style="395" customWidth="1"/>
    <col min="5125" max="5125" width="8.140625" style="395" customWidth="1"/>
    <col min="5126" max="5126" width="12.140625" style="395" customWidth="1"/>
    <col min="5127" max="5127" width="14.42578125" style="395" customWidth="1"/>
    <col min="5128" max="5128" width="13.5703125" style="395" customWidth="1"/>
    <col min="5129" max="5372" width="9.140625" style="395"/>
    <col min="5373" max="5373" width="5.5703125" style="395" customWidth="1"/>
    <col min="5374" max="5374" width="11.5703125" style="395" customWidth="1"/>
    <col min="5375" max="5375" width="35.7109375" style="395" customWidth="1"/>
    <col min="5376" max="5376" width="9.140625" style="395" customWidth="1"/>
    <col min="5377" max="5377" width="11.5703125" style="395" customWidth="1"/>
    <col min="5378" max="5378" width="15.7109375" style="395" customWidth="1"/>
    <col min="5379" max="5379" width="13.42578125" style="395" customWidth="1"/>
    <col min="5380" max="5380" width="19.140625" style="395" customWidth="1"/>
    <col min="5381" max="5381" width="8.140625" style="395" customWidth="1"/>
    <col min="5382" max="5382" width="12.140625" style="395" customWidth="1"/>
    <col min="5383" max="5383" width="14.42578125" style="395" customWidth="1"/>
    <col min="5384" max="5384" width="13.5703125" style="395" customWidth="1"/>
    <col min="5385" max="5628" width="9.140625" style="395"/>
    <col min="5629" max="5629" width="5.5703125" style="395" customWidth="1"/>
    <col min="5630" max="5630" width="11.5703125" style="395" customWidth="1"/>
    <col min="5631" max="5631" width="35.7109375" style="395" customWidth="1"/>
    <col min="5632" max="5632" width="9.140625" style="395" customWidth="1"/>
    <col min="5633" max="5633" width="11.5703125" style="395" customWidth="1"/>
    <col min="5634" max="5634" width="15.7109375" style="395" customWidth="1"/>
    <col min="5635" max="5635" width="13.42578125" style="395" customWidth="1"/>
    <col min="5636" max="5636" width="19.140625" style="395" customWidth="1"/>
    <col min="5637" max="5637" width="8.140625" style="395" customWidth="1"/>
    <col min="5638" max="5638" width="12.140625" style="395" customWidth="1"/>
    <col min="5639" max="5639" width="14.42578125" style="395" customWidth="1"/>
    <col min="5640" max="5640" width="13.5703125" style="395" customWidth="1"/>
    <col min="5641" max="5884" width="9.140625" style="395"/>
    <col min="5885" max="5885" width="5.5703125" style="395" customWidth="1"/>
    <col min="5886" max="5886" width="11.5703125" style="395" customWidth="1"/>
    <col min="5887" max="5887" width="35.7109375" style="395" customWidth="1"/>
    <col min="5888" max="5888" width="9.140625" style="395" customWidth="1"/>
    <col min="5889" max="5889" width="11.5703125" style="395" customWidth="1"/>
    <col min="5890" max="5890" width="15.7109375" style="395" customWidth="1"/>
    <col min="5891" max="5891" width="13.42578125" style="395" customWidth="1"/>
    <col min="5892" max="5892" width="19.140625" style="395" customWidth="1"/>
    <col min="5893" max="5893" width="8.140625" style="395" customWidth="1"/>
    <col min="5894" max="5894" width="12.140625" style="395" customWidth="1"/>
    <col min="5895" max="5895" width="14.42578125" style="395" customWidth="1"/>
    <col min="5896" max="5896" width="13.5703125" style="395" customWidth="1"/>
    <col min="5897" max="6140" width="9.140625" style="395"/>
    <col min="6141" max="6141" width="5.5703125" style="395" customWidth="1"/>
    <col min="6142" max="6142" width="11.5703125" style="395" customWidth="1"/>
    <col min="6143" max="6143" width="35.7109375" style="395" customWidth="1"/>
    <col min="6144" max="6144" width="9.140625" style="395" customWidth="1"/>
    <col min="6145" max="6145" width="11.5703125" style="395" customWidth="1"/>
    <col min="6146" max="6146" width="15.7109375" style="395" customWidth="1"/>
    <col min="6147" max="6147" width="13.42578125" style="395" customWidth="1"/>
    <col min="6148" max="6148" width="19.140625" style="395" customWidth="1"/>
    <col min="6149" max="6149" width="8.140625" style="395" customWidth="1"/>
    <col min="6150" max="6150" width="12.140625" style="395" customWidth="1"/>
    <col min="6151" max="6151" width="14.42578125" style="395" customWidth="1"/>
    <col min="6152" max="6152" width="13.5703125" style="395" customWidth="1"/>
    <col min="6153" max="6396" width="9.140625" style="395"/>
    <col min="6397" max="6397" width="5.5703125" style="395" customWidth="1"/>
    <col min="6398" max="6398" width="11.5703125" style="395" customWidth="1"/>
    <col min="6399" max="6399" width="35.7109375" style="395" customWidth="1"/>
    <col min="6400" max="6400" width="9.140625" style="395" customWidth="1"/>
    <col min="6401" max="6401" width="11.5703125" style="395" customWidth="1"/>
    <col min="6402" max="6402" width="15.7109375" style="395" customWidth="1"/>
    <col min="6403" max="6403" width="13.42578125" style="395" customWidth="1"/>
    <col min="6404" max="6404" width="19.140625" style="395" customWidth="1"/>
    <col min="6405" max="6405" width="8.140625" style="395" customWidth="1"/>
    <col min="6406" max="6406" width="12.140625" style="395" customWidth="1"/>
    <col min="6407" max="6407" width="14.42578125" style="395" customWidth="1"/>
    <col min="6408" max="6408" width="13.5703125" style="395" customWidth="1"/>
    <col min="6409" max="6652" width="9.140625" style="395"/>
    <col min="6653" max="6653" width="5.5703125" style="395" customWidth="1"/>
    <col min="6654" max="6654" width="11.5703125" style="395" customWidth="1"/>
    <col min="6655" max="6655" width="35.7109375" style="395" customWidth="1"/>
    <col min="6656" max="6656" width="9.140625" style="395" customWidth="1"/>
    <col min="6657" max="6657" width="11.5703125" style="395" customWidth="1"/>
    <col min="6658" max="6658" width="15.7109375" style="395" customWidth="1"/>
    <col min="6659" max="6659" width="13.42578125" style="395" customWidth="1"/>
    <col min="6660" max="6660" width="19.140625" style="395" customWidth="1"/>
    <col min="6661" max="6661" width="8.140625" style="395" customWidth="1"/>
    <col min="6662" max="6662" width="12.140625" style="395" customWidth="1"/>
    <col min="6663" max="6663" width="14.42578125" style="395" customWidth="1"/>
    <col min="6664" max="6664" width="13.5703125" style="395" customWidth="1"/>
    <col min="6665" max="6908" width="9.140625" style="395"/>
    <col min="6909" max="6909" width="5.5703125" style="395" customWidth="1"/>
    <col min="6910" max="6910" width="11.5703125" style="395" customWidth="1"/>
    <col min="6911" max="6911" width="35.7109375" style="395" customWidth="1"/>
    <col min="6912" max="6912" width="9.140625" style="395" customWidth="1"/>
    <col min="6913" max="6913" width="11.5703125" style="395" customWidth="1"/>
    <col min="6914" max="6914" width="15.7109375" style="395" customWidth="1"/>
    <col min="6915" max="6915" width="13.42578125" style="395" customWidth="1"/>
    <col min="6916" max="6916" width="19.140625" style="395" customWidth="1"/>
    <col min="6917" max="6917" width="8.140625" style="395" customWidth="1"/>
    <col min="6918" max="6918" width="12.140625" style="395" customWidth="1"/>
    <col min="6919" max="6919" width="14.42578125" style="395" customWidth="1"/>
    <col min="6920" max="6920" width="13.5703125" style="395" customWidth="1"/>
    <col min="6921" max="7164" width="9.140625" style="395"/>
    <col min="7165" max="7165" width="5.5703125" style="395" customWidth="1"/>
    <col min="7166" max="7166" width="11.5703125" style="395" customWidth="1"/>
    <col min="7167" max="7167" width="35.7109375" style="395" customWidth="1"/>
    <col min="7168" max="7168" width="9.140625" style="395" customWidth="1"/>
    <col min="7169" max="7169" width="11.5703125" style="395" customWidth="1"/>
    <col min="7170" max="7170" width="15.7109375" style="395" customWidth="1"/>
    <col min="7171" max="7171" width="13.42578125" style="395" customWidth="1"/>
    <col min="7172" max="7172" width="19.140625" style="395" customWidth="1"/>
    <col min="7173" max="7173" width="8.140625" style="395" customWidth="1"/>
    <col min="7174" max="7174" width="12.140625" style="395" customWidth="1"/>
    <col min="7175" max="7175" width="14.42578125" style="395" customWidth="1"/>
    <col min="7176" max="7176" width="13.5703125" style="395" customWidth="1"/>
    <col min="7177" max="7420" width="9.140625" style="395"/>
    <col min="7421" max="7421" width="5.5703125" style="395" customWidth="1"/>
    <col min="7422" max="7422" width="11.5703125" style="395" customWidth="1"/>
    <col min="7423" max="7423" width="35.7109375" style="395" customWidth="1"/>
    <col min="7424" max="7424" width="9.140625" style="395" customWidth="1"/>
    <col min="7425" max="7425" width="11.5703125" style="395" customWidth="1"/>
    <col min="7426" max="7426" width="15.7109375" style="395" customWidth="1"/>
    <col min="7427" max="7427" width="13.42578125" style="395" customWidth="1"/>
    <col min="7428" max="7428" width="19.140625" style="395" customWidth="1"/>
    <col min="7429" max="7429" width="8.140625" style="395" customWidth="1"/>
    <col min="7430" max="7430" width="12.140625" style="395" customWidth="1"/>
    <col min="7431" max="7431" width="14.42578125" style="395" customWidth="1"/>
    <col min="7432" max="7432" width="13.5703125" style="395" customWidth="1"/>
    <col min="7433" max="7676" width="9.140625" style="395"/>
    <col min="7677" max="7677" width="5.5703125" style="395" customWidth="1"/>
    <col min="7678" max="7678" width="11.5703125" style="395" customWidth="1"/>
    <col min="7679" max="7679" width="35.7109375" style="395" customWidth="1"/>
    <col min="7680" max="7680" width="9.140625" style="395" customWidth="1"/>
    <col min="7681" max="7681" width="11.5703125" style="395" customWidth="1"/>
    <col min="7682" max="7682" width="15.7109375" style="395" customWidth="1"/>
    <col min="7683" max="7683" width="13.42578125" style="395" customWidth="1"/>
    <col min="7684" max="7684" width="19.140625" style="395" customWidth="1"/>
    <col min="7685" max="7685" width="8.140625" style="395" customWidth="1"/>
    <col min="7686" max="7686" width="12.140625" style="395" customWidth="1"/>
    <col min="7687" max="7687" width="14.42578125" style="395" customWidth="1"/>
    <col min="7688" max="7688" width="13.5703125" style="395" customWidth="1"/>
    <col min="7689" max="7932" width="9.140625" style="395"/>
    <col min="7933" max="7933" width="5.5703125" style="395" customWidth="1"/>
    <col min="7934" max="7934" width="11.5703125" style="395" customWidth="1"/>
    <col min="7935" max="7935" width="35.7109375" style="395" customWidth="1"/>
    <col min="7936" max="7936" width="9.140625" style="395" customWidth="1"/>
    <col min="7937" max="7937" width="11.5703125" style="395" customWidth="1"/>
    <col min="7938" max="7938" width="15.7109375" style="395" customWidth="1"/>
    <col min="7939" max="7939" width="13.42578125" style="395" customWidth="1"/>
    <col min="7940" max="7940" width="19.140625" style="395" customWidth="1"/>
    <col min="7941" max="7941" width="8.140625" style="395" customWidth="1"/>
    <col min="7942" max="7942" width="12.140625" style="395" customWidth="1"/>
    <col min="7943" max="7943" width="14.42578125" style="395" customWidth="1"/>
    <col min="7944" max="7944" width="13.5703125" style="395" customWidth="1"/>
    <col min="7945" max="8188" width="9.140625" style="395"/>
    <col min="8189" max="8189" width="5.5703125" style="395" customWidth="1"/>
    <col min="8190" max="8190" width="11.5703125" style="395" customWidth="1"/>
    <col min="8191" max="8191" width="35.7109375" style="395" customWidth="1"/>
    <col min="8192" max="8192" width="9.140625" style="395" customWidth="1"/>
    <col min="8193" max="8193" width="11.5703125" style="395" customWidth="1"/>
    <col min="8194" max="8194" width="15.7109375" style="395" customWidth="1"/>
    <col min="8195" max="8195" width="13.42578125" style="395" customWidth="1"/>
    <col min="8196" max="8196" width="19.140625" style="395" customWidth="1"/>
    <col min="8197" max="8197" width="8.140625" style="395" customWidth="1"/>
    <col min="8198" max="8198" width="12.140625" style="395" customWidth="1"/>
    <col min="8199" max="8199" width="14.42578125" style="395" customWidth="1"/>
    <col min="8200" max="8200" width="13.5703125" style="395" customWidth="1"/>
    <col min="8201" max="8444" width="9.140625" style="395"/>
    <col min="8445" max="8445" width="5.5703125" style="395" customWidth="1"/>
    <col min="8446" max="8446" width="11.5703125" style="395" customWidth="1"/>
    <col min="8447" max="8447" width="35.7109375" style="395" customWidth="1"/>
    <col min="8448" max="8448" width="9.140625" style="395" customWidth="1"/>
    <col min="8449" max="8449" width="11.5703125" style="395" customWidth="1"/>
    <col min="8450" max="8450" width="15.7109375" style="395" customWidth="1"/>
    <col min="8451" max="8451" width="13.42578125" style="395" customWidth="1"/>
    <col min="8452" max="8452" width="19.140625" style="395" customWidth="1"/>
    <col min="8453" max="8453" width="8.140625" style="395" customWidth="1"/>
    <col min="8454" max="8454" width="12.140625" style="395" customWidth="1"/>
    <col min="8455" max="8455" width="14.42578125" style="395" customWidth="1"/>
    <col min="8456" max="8456" width="13.5703125" style="395" customWidth="1"/>
    <col min="8457" max="8700" width="9.140625" style="395"/>
    <col min="8701" max="8701" width="5.5703125" style="395" customWidth="1"/>
    <col min="8702" max="8702" width="11.5703125" style="395" customWidth="1"/>
    <col min="8703" max="8703" width="35.7109375" style="395" customWidth="1"/>
    <col min="8704" max="8704" width="9.140625" style="395" customWidth="1"/>
    <col min="8705" max="8705" width="11.5703125" style="395" customWidth="1"/>
    <col min="8706" max="8706" width="15.7109375" style="395" customWidth="1"/>
    <col min="8707" max="8707" width="13.42578125" style="395" customWidth="1"/>
    <col min="8708" max="8708" width="19.140625" style="395" customWidth="1"/>
    <col min="8709" max="8709" width="8.140625" style="395" customWidth="1"/>
    <col min="8710" max="8710" width="12.140625" style="395" customWidth="1"/>
    <col min="8711" max="8711" width="14.42578125" style="395" customWidth="1"/>
    <col min="8712" max="8712" width="13.5703125" style="395" customWidth="1"/>
    <col min="8713" max="8956" width="9.140625" style="395"/>
    <col min="8957" max="8957" width="5.5703125" style="395" customWidth="1"/>
    <col min="8958" max="8958" width="11.5703125" style="395" customWidth="1"/>
    <col min="8959" max="8959" width="35.7109375" style="395" customWidth="1"/>
    <col min="8960" max="8960" width="9.140625" style="395" customWidth="1"/>
    <col min="8961" max="8961" width="11.5703125" style="395" customWidth="1"/>
    <col min="8962" max="8962" width="15.7109375" style="395" customWidth="1"/>
    <col min="8963" max="8963" width="13.42578125" style="395" customWidth="1"/>
    <col min="8964" max="8964" width="19.140625" style="395" customWidth="1"/>
    <col min="8965" max="8965" width="8.140625" style="395" customWidth="1"/>
    <col min="8966" max="8966" width="12.140625" style="395" customWidth="1"/>
    <col min="8967" max="8967" width="14.42578125" style="395" customWidth="1"/>
    <col min="8968" max="8968" width="13.5703125" style="395" customWidth="1"/>
    <col min="8969" max="9212" width="9.140625" style="395"/>
    <col min="9213" max="9213" width="5.5703125" style="395" customWidth="1"/>
    <col min="9214" max="9214" width="11.5703125" style="395" customWidth="1"/>
    <col min="9215" max="9215" width="35.7109375" style="395" customWidth="1"/>
    <col min="9216" max="9216" width="9.140625" style="395" customWidth="1"/>
    <col min="9217" max="9217" width="11.5703125" style="395" customWidth="1"/>
    <col min="9218" max="9218" width="15.7109375" style="395" customWidth="1"/>
    <col min="9219" max="9219" width="13.42578125" style="395" customWidth="1"/>
    <col min="9220" max="9220" width="19.140625" style="395" customWidth="1"/>
    <col min="9221" max="9221" width="8.140625" style="395" customWidth="1"/>
    <col min="9222" max="9222" width="12.140625" style="395" customWidth="1"/>
    <col min="9223" max="9223" width="14.42578125" style="395" customWidth="1"/>
    <col min="9224" max="9224" width="13.5703125" style="395" customWidth="1"/>
    <col min="9225" max="9468" width="9.140625" style="395"/>
    <col min="9469" max="9469" width="5.5703125" style="395" customWidth="1"/>
    <col min="9470" max="9470" width="11.5703125" style="395" customWidth="1"/>
    <col min="9471" max="9471" width="35.7109375" style="395" customWidth="1"/>
    <col min="9472" max="9472" width="9.140625" style="395" customWidth="1"/>
    <col min="9473" max="9473" width="11.5703125" style="395" customWidth="1"/>
    <col min="9474" max="9474" width="15.7109375" style="395" customWidth="1"/>
    <col min="9475" max="9475" width="13.42578125" style="395" customWidth="1"/>
    <col min="9476" max="9476" width="19.140625" style="395" customWidth="1"/>
    <col min="9477" max="9477" width="8.140625" style="395" customWidth="1"/>
    <col min="9478" max="9478" width="12.140625" style="395" customWidth="1"/>
    <col min="9479" max="9479" width="14.42578125" style="395" customWidth="1"/>
    <col min="9480" max="9480" width="13.5703125" style="395" customWidth="1"/>
    <col min="9481" max="9724" width="9.140625" style="395"/>
    <col min="9725" max="9725" width="5.5703125" style="395" customWidth="1"/>
    <col min="9726" max="9726" width="11.5703125" style="395" customWidth="1"/>
    <col min="9727" max="9727" width="35.7109375" style="395" customWidth="1"/>
    <col min="9728" max="9728" width="9.140625" style="395" customWidth="1"/>
    <col min="9729" max="9729" width="11.5703125" style="395" customWidth="1"/>
    <col min="9730" max="9730" width="15.7109375" style="395" customWidth="1"/>
    <col min="9731" max="9731" width="13.42578125" style="395" customWidth="1"/>
    <col min="9732" max="9732" width="19.140625" style="395" customWidth="1"/>
    <col min="9733" max="9733" width="8.140625" style="395" customWidth="1"/>
    <col min="9734" max="9734" width="12.140625" style="395" customWidth="1"/>
    <col min="9735" max="9735" width="14.42578125" style="395" customWidth="1"/>
    <col min="9736" max="9736" width="13.5703125" style="395" customWidth="1"/>
    <col min="9737" max="9980" width="9.140625" style="395"/>
    <col min="9981" max="9981" width="5.5703125" style="395" customWidth="1"/>
    <col min="9982" max="9982" width="11.5703125" style="395" customWidth="1"/>
    <col min="9983" max="9983" width="35.7109375" style="395" customWidth="1"/>
    <col min="9984" max="9984" width="9.140625" style="395" customWidth="1"/>
    <col min="9985" max="9985" width="11.5703125" style="395" customWidth="1"/>
    <col min="9986" max="9986" width="15.7109375" style="395" customWidth="1"/>
    <col min="9987" max="9987" width="13.42578125" style="395" customWidth="1"/>
    <col min="9988" max="9988" width="19.140625" style="395" customWidth="1"/>
    <col min="9989" max="9989" width="8.140625" style="395" customWidth="1"/>
    <col min="9990" max="9990" width="12.140625" style="395" customWidth="1"/>
    <col min="9991" max="9991" width="14.42578125" style="395" customWidth="1"/>
    <col min="9992" max="9992" width="13.5703125" style="395" customWidth="1"/>
    <col min="9993" max="10236" width="9.140625" style="395"/>
    <col min="10237" max="10237" width="5.5703125" style="395" customWidth="1"/>
    <col min="10238" max="10238" width="11.5703125" style="395" customWidth="1"/>
    <col min="10239" max="10239" width="35.7109375" style="395" customWidth="1"/>
    <col min="10240" max="10240" width="9.140625" style="395" customWidth="1"/>
    <col min="10241" max="10241" width="11.5703125" style="395" customWidth="1"/>
    <col min="10242" max="10242" width="15.7109375" style="395" customWidth="1"/>
    <col min="10243" max="10243" width="13.42578125" style="395" customWidth="1"/>
    <col min="10244" max="10244" width="19.140625" style="395" customWidth="1"/>
    <col min="10245" max="10245" width="8.140625" style="395" customWidth="1"/>
    <col min="10246" max="10246" width="12.140625" style="395" customWidth="1"/>
    <col min="10247" max="10247" width="14.42578125" style="395" customWidth="1"/>
    <col min="10248" max="10248" width="13.5703125" style="395" customWidth="1"/>
    <col min="10249" max="10492" width="9.140625" style="395"/>
    <col min="10493" max="10493" width="5.5703125" style="395" customWidth="1"/>
    <col min="10494" max="10494" width="11.5703125" style="395" customWidth="1"/>
    <col min="10495" max="10495" width="35.7109375" style="395" customWidth="1"/>
    <col min="10496" max="10496" width="9.140625" style="395" customWidth="1"/>
    <col min="10497" max="10497" width="11.5703125" style="395" customWidth="1"/>
    <col min="10498" max="10498" width="15.7109375" style="395" customWidth="1"/>
    <col min="10499" max="10499" width="13.42578125" style="395" customWidth="1"/>
    <col min="10500" max="10500" width="19.140625" style="395" customWidth="1"/>
    <col min="10501" max="10501" width="8.140625" style="395" customWidth="1"/>
    <col min="10502" max="10502" width="12.140625" style="395" customWidth="1"/>
    <col min="10503" max="10503" width="14.42578125" style="395" customWidth="1"/>
    <col min="10504" max="10504" width="13.5703125" style="395" customWidth="1"/>
    <col min="10505" max="10748" width="9.140625" style="395"/>
    <col min="10749" max="10749" width="5.5703125" style="395" customWidth="1"/>
    <col min="10750" max="10750" width="11.5703125" style="395" customWidth="1"/>
    <col min="10751" max="10751" width="35.7109375" style="395" customWidth="1"/>
    <col min="10752" max="10752" width="9.140625" style="395" customWidth="1"/>
    <col min="10753" max="10753" width="11.5703125" style="395" customWidth="1"/>
    <col min="10754" max="10754" width="15.7109375" style="395" customWidth="1"/>
    <col min="10755" max="10755" width="13.42578125" style="395" customWidth="1"/>
    <col min="10756" max="10756" width="19.140625" style="395" customWidth="1"/>
    <col min="10757" max="10757" width="8.140625" style="395" customWidth="1"/>
    <col min="10758" max="10758" width="12.140625" style="395" customWidth="1"/>
    <col min="10759" max="10759" width="14.42578125" style="395" customWidth="1"/>
    <col min="10760" max="10760" width="13.5703125" style="395" customWidth="1"/>
    <col min="10761" max="11004" width="9.140625" style="395"/>
    <col min="11005" max="11005" width="5.5703125" style="395" customWidth="1"/>
    <col min="11006" max="11006" width="11.5703125" style="395" customWidth="1"/>
    <col min="11007" max="11007" width="35.7109375" style="395" customWidth="1"/>
    <col min="11008" max="11008" width="9.140625" style="395" customWidth="1"/>
    <col min="11009" max="11009" width="11.5703125" style="395" customWidth="1"/>
    <col min="11010" max="11010" width="15.7109375" style="395" customWidth="1"/>
    <col min="11011" max="11011" width="13.42578125" style="395" customWidth="1"/>
    <col min="11012" max="11012" width="19.140625" style="395" customWidth="1"/>
    <col min="11013" max="11013" width="8.140625" style="395" customWidth="1"/>
    <col min="11014" max="11014" width="12.140625" style="395" customWidth="1"/>
    <col min="11015" max="11015" width="14.42578125" style="395" customWidth="1"/>
    <col min="11016" max="11016" width="13.5703125" style="395" customWidth="1"/>
    <col min="11017" max="11260" width="9.140625" style="395"/>
    <col min="11261" max="11261" width="5.5703125" style="395" customWidth="1"/>
    <col min="11262" max="11262" width="11.5703125" style="395" customWidth="1"/>
    <col min="11263" max="11263" width="35.7109375" style="395" customWidth="1"/>
    <col min="11264" max="11264" width="9.140625" style="395" customWidth="1"/>
    <col min="11265" max="11265" width="11.5703125" style="395" customWidth="1"/>
    <col min="11266" max="11266" width="15.7109375" style="395" customWidth="1"/>
    <col min="11267" max="11267" width="13.42578125" style="395" customWidth="1"/>
    <col min="11268" max="11268" width="19.140625" style="395" customWidth="1"/>
    <col min="11269" max="11269" width="8.140625" style="395" customWidth="1"/>
    <col min="11270" max="11270" width="12.140625" style="395" customWidth="1"/>
    <col min="11271" max="11271" width="14.42578125" style="395" customWidth="1"/>
    <col min="11272" max="11272" width="13.5703125" style="395" customWidth="1"/>
    <col min="11273" max="11516" width="9.140625" style="395"/>
    <col min="11517" max="11517" width="5.5703125" style="395" customWidth="1"/>
    <col min="11518" max="11518" width="11.5703125" style="395" customWidth="1"/>
    <col min="11519" max="11519" width="35.7109375" style="395" customWidth="1"/>
    <col min="11520" max="11520" width="9.140625" style="395" customWidth="1"/>
    <col min="11521" max="11521" width="11.5703125" style="395" customWidth="1"/>
    <col min="11522" max="11522" width="15.7109375" style="395" customWidth="1"/>
    <col min="11523" max="11523" width="13.42578125" style="395" customWidth="1"/>
    <col min="11524" max="11524" width="19.140625" style="395" customWidth="1"/>
    <col min="11525" max="11525" width="8.140625" style="395" customWidth="1"/>
    <col min="11526" max="11526" width="12.140625" style="395" customWidth="1"/>
    <col min="11527" max="11527" width="14.42578125" style="395" customWidth="1"/>
    <col min="11528" max="11528" width="13.5703125" style="395" customWidth="1"/>
    <col min="11529" max="11772" width="9.140625" style="395"/>
    <col min="11773" max="11773" width="5.5703125" style="395" customWidth="1"/>
    <col min="11774" max="11774" width="11.5703125" style="395" customWidth="1"/>
    <col min="11775" max="11775" width="35.7109375" style="395" customWidth="1"/>
    <col min="11776" max="11776" width="9.140625" style="395" customWidth="1"/>
    <col min="11777" max="11777" width="11.5703125" style="395" customWidth="1"/>
    <col min="11778" max="11778" width="15.7109375" style="395" customWidth="1"/>
    <col min="11779" max="11779" width="13.42578125" style="395" customWidth="1"/>
    <col min="11780" max="11780" width="19.140625" style="395" customWidth="1"/>
    <col min="11781" max="11781" width="8.140625" style="395" customWidth="1"/>
    <col min="11782" max="11782" width="12.140625" style="395" customWidth="1"/>
    <col min="11783" max="11783" width="14.42578125" style="395" customWidth="1"/>
    <col min="11784" max="11784" width="13.5703125" style="395" customWidth="1"/>
    <col min="11785" max="12028" width="9.140625" style="395"/>
    <col min="12029" max="12029" width="5.5703125" style="395" customWidth="1"/>
    <col min="12030" max="12030" width="11.5703125" style="395" customWidth="1"/>
    <col min="12031" max="12031" width="35.7109375" style="395" customWidth="1"/>
    <col min="12032" max="12032" width="9.140625" style="395" customWidth="1"/>
    <col min="12033" max="12033" width="11.5703125" style="395" customWidth="1"/>
    <col min="12034" max="12034" width="15.7109375" style="395" customWidth="1"/>
    <col min="12035" max="12035" width="13.42578125" style="395" customWidth="1"/>
    <col min="12036" max="12036" width="19.140625" style="395" customWidth="1"/>
    <col min="12037" max="12037" width="8.140625" style="395" customWidth="1"/>
    <col min="12038" max="12038" width="12.140625" style="395" customWidth="1"/>
    <col min="12039" max="12039" width="14.42578125" style="395" customWidth="1"/>
    <col min="12040" max="12040" width="13.5703125" style="395" customWidth="1"/>
    <col min="12041" max="12284" width="9.140625" style="395"/>
    <col min="12285" max="12285" width="5.5703125" style="395" customWidth="1"/>
    <col min="12286" max="12286" width="11.5703125" style="395" customWidth="1"/>
    <col min="12287" max="12287" width="35.7109375" style="395" customWidth="1"/>
    <col min="12288" max="12288" width="9.140625" style="395" customWidth="1"/>
    <col min="12289" max="12289" width="11.5703125" style="395" customWidth="1"/>
    <col min="12290" max="12290" width="15.7109375" style="395" customWidth="1"/>
    <col min="12291" max="12291" width="13.42578125" style="395" customWidth="1"/>
    <col min="12292" max="12292" width="19.140625" style="395" customWidth="1"/>
    <col min="12293" max="12293" width="8.140625" style="395" customWidth="1"/>
    <col min="12294" max="12294" width="12.140625" style="395" customWidth="1"/>
    <col min="12295" max="12295" width="14.42578125" style="395" customWidth="1"/>
    <col min="12296" max="12296" width="13.5703125" style="395" customWidth="1"/>
    <col min="12297" max="12540" width="9.140625" style="395"/>
    <col min="12541" max="12541" width="5.5703125" style="395" customWidth="1"/>
    <col min="12542" max="12542" width="11.5703125" style="395" customWidth="1"/>
    <col min="12543" max="12543" width="35.7109375" style="395" customWidth="1"/>
    <col min="12544" max="12544" width="9.140625" style="395" customWidth="1"/>
    <col min="12545" max="12545" width="11.5703125" style="395" customWidth="1"/>
    <col min="12546" max="12546" width="15.7109375" style="395" customWidth="1"/>
    <col min="12547" max="12547" width="13.42578125" style="395" customWidth="1"/>
    <col min="12548" max="12548" width="19.140625" style="395" customWidth="1"/>
    <col min="12549" max="12549" width="8.140625" style="395" customWidth="1"/>
    <col min="12550" max="12550" width="12.140625" style="395" customWidth="1"/>
    <col min="12551" max="12551" width="14.42578125" style="395" customWidth="1"/>
    <col min="12552" max="12552" width="13.5703125" style="395" customWidth="1"/>
    <col min="12553" max="12796" width="9.140625" style="395"/>
    <col min="12797" max="12797" width="5.5703125" style="395" customWidth="1"/>
    <col min="12798" max="12798" width="11.5703125" style="395" customWidth="1"/>
    <col min="12799" max="12799" width="35.7109375" style="395" customWidth="1"/>
    <col min="12800" max="12800" width="9.140625" style="395" customWidth="1"/>
    <col min="12801" max="12801" width="11.5703125" style="395" customWidth="1"/>
    <col min="12802" max="12802" width="15.7109375" style="395" customWidth="1"/>
    <col min="12803" max="12803" width="13.42578125" style="395" customWidth="1"/>
    <col min="12804" max="12804" width="19.140625" style="395" customWidth="1"/>
    <col min="12805" max="12805" width="8.140625" style="395" customWidth="1"/>
    <col min="12806" max="12806" width="12.140625" style="395" customWidth="1"/>
    <col min="12807" max="12807" width="14.42578125" style="395" customWidth="1"/>
    <col min="12808" max="12808" width="13.5703125" style="395" customWidth="1"/>
    <col min="12809" max="13052" width="9.140625" style="395"/>
    <col min="13053" max="13053" width="5.5703125" style="395" customWidth="1"/>
    <col min="13054" max="13054" width="11.5703125" style="395" customWidth="1"/>
    <col min="13055" max="13055" width="35.7109375" style="395" customWidth="1"/>
    <col min="13056" max="13056" width="9.140625" style="395" customWidth="1"/>
    <col min="13057" max="13057" width="11.5703125" style="395" customWidth="1"/>
    <col min="13058" max="13058" width="15.7109375" style="395" customWidth="1"/>
    <col min="13059" max="13059" width="13.42578125" style="395" customWidth="1"/>
    <col min="13060" max="13060" width="19.140625" style="395" customWidth="1"/>
    <col min="13061" max="13061" width="8.140625" style="395" customWidth="1"/>
    <col min="13062" max="13062" width="12.140625" style="395" customWidth="1"/>
    <col min="13063" max="13063" width="14.42578125" style="395" customWidth="1"/>
    <col min="13064" max="13064" width="13.5703125" style="395" customWidth="1"/>
    <col min="13065" max="13308" width="9.140625" style="395"/>
    <col min="13309" max="13309" width="5.5703125" style="395" customWidth="1"/>
    <col min="13310" max="13310" width="11.5703125" style="395" customWidth="1"/>
    <col min="13311" max="13311" width="35.7109375" style="395" customWidth="1"/>
    <col min="13312" max="13312" width="9.140625" style="395" customWidth="1"/>
    <col min="13313" max="13313" width="11.5703125" style="395" customWidth="1"/>
    <col min="13314" max="13314" width="15.7109375" style="395" customWidth="1"/>
    <col min="13315" max="13315" width="13.42578125" style="395" customWidth="1"/>
    <col min="13316" max="13316" width="19.140625" style="395" customWidth="1"/>
    <col min="13317" max="13317" width="8.140625" style="395" customWidth="1"/>
    <col min="13318" max="13318" width="12.140625" style="395" customWidth="1"/>
    <col min="13319" max="13319" width="14.42578125" style="395" customWidth="1"/>
    <col min="13320" max="13320" width="13.5703125" style="395" customWidth="1"/>
    <col min="13321" max="13564" width="9.140625" style="395"/>
    <col min="13565" max="13565" width="5.5703125" style="395" customWidth="1"/>
    <col min="13566" max="13566" width="11.5703125" style="395" customWidth="1"/>
    <col min="13567" max="13567" width="35.7109375" style="395" customWidth="1"/>
    <col min="13568" max="13568" width="9.140625" style="395" customWidth="1"/>
    <col min="13569" max="13569" width="11.5703125" style="395" customWidth="1"/>
    <col min="13570" max="13570" width="15.7109375" style="395" customWidth="1"/>
    <col min="13571" max="13571" width="13.42578125" style="395" customWidth="1"/>
    <col min="13572" max="13572" width="19.140625" style="395" customWidth="1"/>
    <col min="13573" max="13573" width="8.140625" style="395" customWidth="1"/>
    <col min="13574" max="13574" width="12.140625" style="395" customWidth="1"/>
    <col min="13575" max="13575" width="14.42578125" style="395" customWidth="1"/>
    <col min="13576" max="13576" width="13.5703125" style="395" customWidth="1"/>
    <col min="13577" max="13820" width="9.140625" style="395"/>
    <col min="13821" max="13821" width="5.5703125" style="395" customWidth="1"/>
    <col min="13822" max="13822" width="11.5703125" style="395" customWidth="1"/>
    <col min="13823" max="13823" width="35.7109375" style="395" customWidth="1"/>
    <col min="13824" max="13824" width="9.140625" style="395" customWidth="1"/>
    <col min="13825" max="13825" width="11.5703125" style="395" customWidth="1"/>
    <col min="13826" max="13826" width="15.7109375" style="395" customWidth="1"/>
    <col min="13827" max="13827" width="13.42578125" style="395" customWidth="1"/>
    <col min="13828" max="13828" width="19.140625" style="395" customWidth="1"/>
    <col min="13829" max="13829" width="8.140625" style="395" customWidth="1"/>
    <col min="13830" max="13830" width="12.140625" style="395" customWidth="1"/>
    <col min="13831" max="13831" width="14.42578125" style="395" customWidth="1"/>
    <col min="13832" max="13832" width="13.5703125" style="395" customWidth="1"/>
    <col min="13833" max="14076" width="9.140625" style="395"/>
    <col min="14077" max="14077" width="5.5703125" style="395" customWidth="1"/>
    <col min="14078" max="14078" width="11.5703125" style="395" customWidth="1"/>
    <col min="14079" max="14079" width="35.7109375" style="395" customWidth="1"/>
    <col min="14080" max="14080" width="9.140625" style="395" customWidth="1"/>
    <col min="14081" max="14081" width="11.5703125" style="395" customWidth="1"/>
    <col min="14082" max="14082" width="15.7109375" style="395" customWidth="1"/>
    <col min="14083" max="14083" width="13.42578125" style="395" customWidth="1"/>
    <col min="14084" max="14084" width="19.140625" style="395" customWidth="1"/>
    <col min="14085" max="14085" width="8.140625" style="395" customWidth="1"/>
    <col min="14086" max="14086" width="12.140625" style="395" customWidth="1"/>
    <col min="14087" max="14087" width="14.42578125" style="395" customWidth="1"/>
    <col min="14088" max="14088" width="13.5703125" style="395" customWidth="1"/>
    <col min="14089" max="14332" width="9.140625" style="395"/>
    <col min="14333" max="14333" width="5.5703125" style="395" customWidth="1"/>
    <col min="14334" max="14334" width="11.5703125" style="395" customWidth="1"/>
    <col min="14335" max="14335" width="35.7109375" style="395" customWidth="1"/>
    <col min="14336" max="14336" width="9.140625" style="395" customWidth="1"/>
    <col min="14337" max="14337" width="11.5703125" style="395" customWidth="1"/>
    <col min="14338" max="14338" width="15.7109375" style="395" customWidth="1"/>
    <col min="14339" max="14339" width="13.42578125" style="395" customWidth="1"/>
    <col min="14340" max="14340" width="19.140625" style="395" customWidth="1"/>
    <col min="14341" max="14341" width="8.140625" style="395" customWidth="1"/>
    <col min="14342" max="14342" width="12.140625" style="395" customWidth="1"/>
    <col min="14343" max="14343" width="14.42578125" style="395" customWidth="1"/>
    <col min="14344" max="14344" width="13.5703125" style="395" customWidth="1"/>
    <col min="14345" max="14588" width="9.140625" style="395"/>
    <col min="14589" max="14589" width="5.5703125" style="395" customWidth="1"/>
    <col min="14590" max="14590" width="11.5703125" style="395" customWidth="1"/>
    <col min="14591" max="14591" width="35.7109375" style="395" customWidth="1"/>
    <col min="14592" max="14592" width="9.140625" style="395" customWidth="1"/>
    <col min="14593" max="14593" width="11.5703125" style="395" customWidth="1"/>
    <col min="14594" max="14594" width="15.7109375" style="395" customWidth="1"/>
    <col min="14595" max="14595" width="13.42578125" style="395" customWidth="1"/>
    <col min="14596" max="14596" width="19.140625" style="395" customWidth="1"/>
    <col min="14597" max="14597" width="8.140625" style="395" customWidth="1"/>
    <col min="14598" max="14598" width="12.140625" style="395" customWidth="1"/>
    <col min="14599" max="14599" width="14.42578125" style="395" customWidth="1"/>
    <col min="14600" max="14600" width="13.5703125" style="395" customWidth="1"/>
    <col min="14601" max="14844" width="9.140625" style="395"/>
    <col min="14845" max="14845" width="5.5703125" style="395" customWidth="1"/>
    <col min="14846" max="14846" width="11.5703125" style="395" customWidth="1"/>
    <col min="14847" max="14847" width="35.7109375" style="395" customWidth="1"/>
    <col min="14848" max="14848" width="9.140625" style="395" customWidth="1"/>
    <col min="14849" max="14849" width="11.5703125" style="395" customWidth="1"/>
    <col min="14850" max="14850" width="15.7109375" style="395" customWidth="1"/>
    <col min="14851" max="14851" width="13.42578125" style="395" customWidth="1"/>
    <col min="14852" max="14852" width="19.140625" style="395" customWidth="1"/>
    <col min="14853" max="14853" width="8.140625" style="395" customWidth="1"/>
    <col min="14854" max="14854" width="12.140625" style="395" customWidth="1"/>
    <col min="14855" max="14855" width="14.42578125" style="395" customWidth="1"/>
    <col min="14856" max="14856" width="13.5703125" style="395" customWidth="1"/>
    <col min="14857" max="15100" width="9.140625" style="395"/>
    <col min="15101" max="15101" width="5.5703125" style="395" customWidth="1"/>
    <col min="15102" max="15102" width="11.5703125" style="395" customWidth="1"/>
    <col min="15103" max="15103" width="35.7109375" style="395" customWidth="1"/>
    <col min="15104" max="15104" width="9.140625" style="395" customWidth="1"/>
    <col min="15105" max="15105" width="11.5703125" style="395" customWidth="1"/>
    <col min="15106" max="15106" width="15.7109375" style="395" customWidth="1"/>
    <col min="15107" max="15107" width="13.42578125" style="395" customWidth="1"/>
    <col min="15108" max="15108" width="19.140625" style="395" customWidth="1"/>
    <col min="15109" max="15109" width="8.140625" style="395" customWidth="1"/>
    <col min="15110" max="15110" width="12.140625" style="395" customWidth="1"/>
    <col min="15111" max="15111" width="14.42578125" style="395" customWidth="1"/>
    <col min="15112" max="15112" width="13.5703125" style="395" customWidth="1"/>
    <col min="15113" max="15356" width="9.140625" style="395"/>
    <col min="15357" max="15357" width="5.5703125" style="395" customWidth="1"/>
    <col min="15358" max="15358" width="11.5703125" style="395" customWidth="1"/>
    <col min="15359" max="15359" width="35.7109375" style="395" customWidth="1"/>
    <col min="15360" max="15360" width="9.140625" style="395" customWidth="1"/>
    <col min="15361" max="15361" width="11.5703125" style="395" customWidth="1"/>
    <col min="15362" max="15362" width="15.7109375" style="395" customWidth="1"/>
    <col min="15363" max="15363" width="13.42578125" style="395" customWidth="1"/>
    <col min="15364" max="15364" width="19.140625" style="395" customWidth="1"/>
    <col min="15365" max="15365" width="8.140625" style="395" customWidth="1"/>
    <col min="15366" max="15366" width="12.140625" style="395" customWidth="1"/>
    <col min="15367" max="15367" width="14.42578125" style="395" customWidth="1"/>
    <col min="15368" max="15368" width="13.5703125" style="395" customWidth="1"/>
    <col min="15369" max="15612" width="9.140625" style="395"/>
    <col min="15613" max="15613" width="5.5703125" style="395" customWidth="1"/>
    <col min="15614" max="15614" width="11.5703125" style="395" customWidth="1"/>
    <col min="15615" max="15615" width="35.7109375" style="395" customWidth="1"/>
    <col min="15616" max="15616" width="9.140625" style="395" customWidth="1"/>
    <col min="15617" max="15617" width="11.5703125" style="395" customWidth="1"/>
    <col min="15618" max="15618" width="15.7109375" style="395" customWidth="1"/>
    <col min="15619" max="15619" width="13.42578125" style="395" customWidth="1"/>
    <col min="15620" max="15620" width="19.140625" style="395" customWidth="1"/>
    <col min="15621" max="15621" width="8.140625" style="395" customWidth="1"/>
    <col min="15622" max="15622" width="12.140625" style="395" customWidth="1"/>
    <col min="15623" max="15623" width="14.42578125" style="395" customWidth="1"/>
    <col min="15624" max="15624" width="13.5703125" style="395" customWidth="1"/>
    <col min="15625" max="15868" width="9.140625" style="395"/>
    <col min="15869" max="15869" width="5.5703125" style="395" customWidth="1"/>
    <col min="15870" max="15870" width="11.5703125" style="395" customWidth="1"/>
    <col min="15871" max="15871" width="35.7109375" style="395" customWidth="1"/>
    <col min="15872" max="15872" width="9.140625" style="395" customWidth="1"/>
    <col min="15873" max="15873" width="11.5703125" style="395" customWidth="1"/>
    <col min="15874" max="15874" width="15.7109375" style="395" customWidth="1"/>
    <col min="15875" max="15875" width="13.42578125" style="395" customWidth="1"/>
    <col min="15876" max="15876" width="19.140625" style="395" customWidth="1"/>
    <col min="15877" max="15877" width="8.140625" style="395" customWidth="1"/>
    <col min="15878" max="15878" width="12.140625" style="395" customWidth="1"/>
    <col min="15879" max="15879" width="14.42578125" style="395" customWidth="1"/>
    <col min="15880" max="15880" width="13.5703125" style="395" customWidth="1"/>
    <col min="15881" max="16124" width="9.140625" style="395"/>
    <col min="16125" max="16125" width="5.5703125" style="395" customWidth="1"/>
    <col min="16126" max="16126" width="11.5703125" style="395" customWidth="1"/>
    <col min="16127" max="16127" width="35.7109375" style="395" customWidth="1"/>
    <col min="16128" max="16128" width="9.140625" style="395" customWidth="1"/>
    <col min="16129" max="16129" width="11.5703125" style="395" customWidth="1"/>
    <col min="16130" max="16130" width="15.7109375" style="395" customWidth="1"/>
    <col min="16131" max="16131" width="13.42578125" style="395" customWidth="1"/>
    <col min="16132" max="16132" width="19.140625" style="395" customWidth="1"/>
    <col min="16133" max="16133" width="8.140625" style="395" customWidth="1"/>
    <col min="16134" max="16134" width="12.140625" style="395" customWidth="1"/>
    <col min="16135" max="16135" width="14.42578125" style="395" customWidth="1"/>
    <col min="16136" max="16136" width="13.5703125" style="395" customWidth="1"/>
    <col min="16137" max="16384" width="9.140625" style="395"/>
  </cols>
  <sheetData>
    <row r="1" spans="1:17" ht="20.25" customHeight="1" x14ac:dyDescent="0.2">
      <c r="A1" s="937" t="s">
        <v>528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7" ht="20.25" customHeight="1" x14ac:dyDescent="0.2">
      <c r="A2" s="938" t="s">
        <v>529</v>
      </c>
      <c r="B2" s="939" t="s">
        <v>356</v>
      </c>
      <c r="C2" s="939" t="s">
        <v>530</v>
      </c>
      <c r="D2" s="940" t="s">
        <v>531</v>
      </c>
      <c r="E2" s="936" t="s">
        <v>532</v>
      </c>
      <c r="F2" s="941" t="s">
        <v>412</v>
      </c>
      <c r="G2" s="942"/>
      <c r="H2" s="942"/>
      <c r="I2" s="936" t="s">
        <v>533</v>
      </c>
      <c r="J2" s="397" t="s">
        <v>412</v>
      </c>
      <c r="K2" s="936" t="s">
        <v>534</v>
      </c>
      <c r="L2" s="933" t="s">
        <v>535</v>
      </c>
      <c r="M2" s="936" t="s">
        <v>536</v>
      </c>
    </row>
    <row r="3" spans="1:17" ht="36" customHeight="1" x14ac:dyDescent="0.2">
      <c r="A3" s="938"/>
      <c r="B3" s="939"/>
      <c r="C3" s="939"/>
      <c r="D3" s="940"/>
      <c r="E3" s="936"/>
      <c r="F3" s="936" t="s">
        <v>537</v>
      </c>
      <c r="G3" s="933" t="s">
        <v>538</v>
      </c>
      <c r="H3" s="936" t="s">
        <v>575</v>
      </c>
      <c r="I3" s="936"/>
      <c r="J3" s="936" t="s">
        <v>539</v>
      </c>
      <c r="K3" s="936"/>
      <c r="L3" s="934"/>
      <c r="M3" s="936"/>
    </row>
    <row r="4" spans="1:17" ht="27" customHeight="1" x14ac:dyDescent="0.2">
      <c r="A4" s="938"/>
      <c r="B4" s="939"/>
      <c r="C4" s="939"/>
      <c r="D4" s="940"/>
      <c r="E4" s="936"/>
      <c r="F4" s="936"/>
      <c r="G4" s="935"/>
      <c r="H4" s="936"/>
      <c r="I4" s="936"/>
      <c r="J4" s="936"/>
      <c r="K4" s="936"/>
      <c r="L4" s="935"/>
      <c r="M4" s="936"/>
    </row>
    <row r="5" spans="1:17" ht="12.95" customHeight="1" x14ac:dyDescent="0.2">
      <c r="A5" s="398">
        <v>1</v>
      </c>
      <c r="B5" s="399" t="s">
        <v>131</v>
      </c>
      <c r="C5" s="400" t="s">
        <v>132</v>
      </c>
      <c r="D5" s="401" t="s">
        <v>540</v>
      </c>
      <c r="E5" s="402">
        <v>3115</v>
      </c>
      <c r="F5" s="402">
        <v>0</v>
      </c>
      <c r="G5" s="402">
        <v>0</v>
      </c>
      <c r="H5" s="402">
        <v>3115</v>
      </c>
      <c r="I5" s="796"/>
      <c r="J5" s="796"/>
      <c r="K5" s="402">
        <v>3115</v>
      </c>
      <c r="L5" s="402">
        <v>0</v>
      </c>
      <c r="M5" s="402">
        <f>K5+L5</f>
        <v>3115</v>
      </c>
      <c r="N5" s="403"/>
      <c r="Q5" s="403"/>
    </row>
    <row r="6" spans="1:17" ht="12.95" customHeight="1" x14ac:dyDescent="0.2">
      <c r="A6" s="398">
        <v>2</v>
      </c>
      <c r="B6" s="404" t="s">
        <v>38</v>
      </c>
      <c r="C6" s="400" t="s">
        <v>39</v>
      </c>
      <c r="D6" s="401" t="s">
        <v>540</v>
      </c>
      <c r="E6" s="402">
        <v>1916</v>
      </c>
      <c r="F6" s="402">
        <v>0</v>
      </c>
      <c r="G6" s="402">
        <v>0</v>
      </c>
      <c r="H6" s="402">
        <v>1916</v>
      </c>
      <c r="I6" s="796"/>
      <c r="J6" s="796"/>
      <c r="K6" s="402">
        <v>1916</v>
      </c>
      <c r="L6" s="402">
        <v>0</v>
      </c>
      <c r="M6" s="402">
        <f t="shared" ref="M6:M65" si="0">K6+L6</f>
        <v>1916</v>
      </c>
    </row>
    <row r="7" spans="1:17" ht="12.95" customHeight="1" x14ac:dyDescent="0.2">
      <c r="A7" s="398">
        <v>3</v>
      </c>
      <c r="B7" s="399" t="s">
        <v>133</v>
      </c>
      <c r="C7" s="400" t="s">
        <v>134</v>
      </c>
      <c r="D7" s="401" t="s">
        <v>540</v>
      </c>
      <c r="E7" s="402">
        <v>4105</v>
      </c>
      <c r="F7" s="402">
        <v>0</v>
      </c>
      <c r="G7" s="402">
        <v>0</v>
      </c>
      <c r="H7" s="402">
        <v>4105</v>
      </c>
      <c r="I7" s="796"/>
      <c r="J7" s="796"/>
      <c r="K7" s="402">
        <v>4105</v>
      </c>
      <c r="L7" s="402">
        <v>0</v>
      </c>
      <c r="M7" s="402">
        <f t="shared" si="0"/>
        <v>4105</v>
      </c>
    </row>
    <row r="8" spans="1:17" ht="12.95" customHeight="1" x14ac:dyDescent="0.2">
      <c r="A8" s="398">
        <v>4</v>
      </c>
      <c r="B8" s="405" t="s">
        <v>109</v>
      </c>
      <c r="C8" s="400" t="s">
        <v>110</v>
      </c>
      <c r="D8" s="401" t="s">
        <v>540</v>
      </c>
      <c r="E8" s="402">
        <v>2250</v>
      </c>
      <c r="F8" s="402">
        <v>0</v>
      </c>
      <c r="G8" s="402">
        <v>0</v>
      </c>
      <c r="H8" s="402">
        <v>2250</v>
      </c>
      <c r="I8" s="796"/>
      <c r="J8" s="796"/>
      <c r="K8" s="402">
        <v>2250</v>
      </c>
      <c r="L8" s="402">
        <v>0</v>
      </c>
      <c r="M8" s="402">
        <f t="shared" si="0"/>
        <v>2250</v>
      </c>
    </row>
    <row r="9" spans="1:17" ht="12.95" customHeight="1" x14ac:dyDescent="0.2">
      <c r="A9" s="398">
        <v>5</v>
      </c>
      <c r="B9" s="399" t="s">
        <v>135</v>
      </c>
      <c r="C9" s="400" t="s">
        <v>136</v>
      </c>
      <c r="D9" s="401" t="s">
        <v>540</v>
      </c>
      <c r="E9" s="402">
        <v>6620</v>
      </c>
      <c r="F9" s="402">
        <v>0</v>
      </c>
      <c r="G9" s="402">
        <v>0</v>
      </c>
      <c r="H9" s="402">
        <v>6620</v>
      </c>
      <c r="I9" s="796"/>
      <c r="J9" s="796"/>
      <c r="K9" s="402">
        <v>6620</v>
      </c>
      <c r="L9" s="402">
        <v>0</v>
      </c>
      <c r="M9" s="402">
        <f t="shared" si="0"/>
        <v>6620</v>
      </c>
    </row>
    <row r="10" spans="1:17" ht="12.95" customHeight="1" x14ac:dyDescent="0.2">
      <c r="A10" s="398">
        <v>6</v>
      </c>
      <c r="B10" s="405" t="s">
        <v>78</v>
      </c>
      <c r="C10" s="400" t="s">
        <v>79</v>
      </c>
      <c r="D10" s="401" t="s">
        <v>540</v>
      </c>
      <c r="E10" s="402">
        <v>3005</v>
      </c>
      <c r="F10" s="402">
        <v>0</v>
      </c>
      <c r="G10" s="402">
        <v>0</v>
      </c>
      <c r="H10" s="402">
        <v>3005</v>
      </c>
      <c r="I10" s="796"/>
      <c r="J10" s="796"/>
      <c r="K10" s="402">
        <v>3005</v>
      </c>
      <c r="L10" s="402">
        <v>0</v>
      </c>
      <c r="M10" s="402">
        <f t="shared" si="0"/>
        <v>3005</v>
      </c>
    </row>
    <row r="11" spans="1:17" ht="12.95" customHeight="1" x14ac:dyDescent="0.2">
      <c r="A11" s="398">
        <v>7</v>
      </c>
      <c r="B11" s="404" t="s">
        <v>111</v>
      </c>
      <c r="C11" s="400" t="s">
        <v>112</v>
      </c>
      <c r="D11" s="401" t="s">
        <v>540</v>
      </c>
      <c r="E11" s="402">
        <v>1835</v>
      </c>
      <c r="F11" s="402">
        <v>3</v>
      </c>
      <c r="G11" s="402">
        <v>0</v>
      </c>
      <c r="H11" s="402">
        <v>1832</v>
      </c>
      <c r="I11" s="796"/>
      <c r="J11" s="796"/>
      <c r="K11" s="402">
        <v>1835</v>
      </c>
      <c r="L11" s="402">
        <v>0</v>
      </c>
      <c r="M11" s="402">
        <f t="shared" si="0"/>
        <v>1835</v>
      </c>
    </row>
    <row r="12" spans="1:17" ht="12.95" customHeight="1" x14ac:dyDescent="0.2">
      <c r="A12" s="398">
        <v>8</v>
      </c>
      <c r="B12" s="399" t="s">
        <v>40</v>
      </c>
      <c r="C12" s="400" t="s">
        <v>41</v>
      </c>
      <c r="D12" s="401" t="s">
        <v>540</v>
      </c>
      <c r="E12" s="402">
        <v>2164</v>
      </c>
      <c r="F12" s="402">
        <v>0</v>
      </c>
      <c r="G12" s="402">
        <v>0</v>
      </c>
      <c r="H12" s="402">
        <v>2164</v>
      </c>
      <c r="I12" s="796"/>
      <c r="J12" s="796"/>
      <c r="K12" s="402">
        <v>2164</v>
      </c>
      <c r="L12" s="402">
        <v>0</v>
      </c>
      <c r="M12" s="402">
        <f t="shared" si="0"/>
        <v>2164</v>
      </c>
    </row>
    <row r="13" spans="1:17" ht="12.95" customHeight="1" x14ac:dyDescent="0.2">
      <c r="A13" s="398">
        <v>9</v>
      </c>
      <c r="B13" s="406" t="s">
        <v>175</v>
      </c>
      <c r="C13" s="400" t="s">
        <v>176</v>
      </c>
      <c r="D13" s="401" t="s">
        <v>540</v>
      </c>
      <c r="E13" s="402">
        <v>2325</v>
      </c>
      <c r="F13" s="402">
        <v>0</v>
      </c>
      <c r="G13" s="402">
        <v>0</v>
      </c>
      <c r="H13" s="402">
        <v>2325</v>
      </c>
      <c r="I13" s="796"/>
      <c r="J13" s="796"/>
      <c r="K13" s="402">
        <v>2325</v>
      </c>
      <c r="L13" s="402">
        <v>0</v>
      </c>
      <c r="M13" s="402">
        <f t="shared" si="0"/>
        <v>2325</v>
      </c>
    </row>
    <row r="14" spans="1:17" ht="12.95" customHeight="1" x14ac:dyDescent="0.2">
      <c r="A14" s="398">
        <v>10</v>
      </c>
      <c r="B14" s="399" t="s">
        <v>238</v>
      </c>
      <c r="C14" s="400" t="s">
        <v>239</v>
      </c>
      <c r="D14" s="401" t="s">
        <v>540</v>
      </c>
      <c r="E14" s="402">
        <v>5186</v>
      </c>
      <c r="F14" s="402">
        <v>0</v>
      </c>
      <c r="G14" s="402">
        <v>0</v>
      </c>
      <c r="H14" s="402">
        <v>5186</v>
      </c>
      <c r="I14" s="796"/>
      <c r="J14" s="796"/>
      <c r="K14" s="402">
        <v>5186</v>
      </c>
      <c r="L14" s="402">
        <v>0</v>
      </c>
      <c r="M14" s="402">
        <f t="shared" si="0"/>
        <v>5186</v>
      </c>
    </row>
    <row r="15" spans="1:17" ht="12.95" customHeight="1" x14ac:dyDescent="0.2">
      <c r="A15" s="398">
        <v>11</v>
      </c>
      <c r="B15" s="404" t="s">
        <v>240</v>
      </c>
      <c r="C15" s="400" t="s">
        <v>241</v>
      </c>
      <c r="D15" s="401" t="s">
        <v>540</v>
      </c>
      <c r="E15" s="402">
        <v>2567</v>
      </c>
      <c r="F15" s="402">
        <v>0</v>
      </c>
      <c r="G15" s="402">
        <v>0</v>
      </c>
      <c r="H15" s="402">
        <v>2567</v>
      </c>
      <c r="I15" s="796"/>
      <c r="J15" s="796"/>
      <c r="K15" s="402">
        <v>2567</v>
      </c>
      <c r="L15" s="402">
        <v>0</v>
      </c>
      <c r="M15" s="402">
        <f t="shared" si="0"/>
        <v>2567</v>
      </c>
    </row>
    <row r="16" spans="1:17" ht="12.95" customHeight="1" x14ac:dyDescent="0.2">
      <c r="A16" s="398">
        <v>12</v>
      </c>
      <c r="B16" s="404" t="s">
        <v>88</v>
      </c>
      <c r="C16" s="400" t="s">
        <v>89</v>
      </c>
      <c r="D16" s="401" t="s">
        <v>540</v>
      </c>
      <c r="E16" s="402">
        <v>3510</v>
      </c>
      <c r="F16" s="402">
        <v>2</v>
      </c>
      <c r="G16" s="402">
        <v>0</v>
      </c>
      <c r="H16" s="402">
        <v>3508</v>
      </c>
      <c r="I16" s="796"/>
      <c r="J16" s="796"/>
      <c r="K16" s="402">
        <v>3510</v>
      </c>
      <c r="L16" s="402">
        <v>0</v>
      </c>
      <c r="M16" s="402">
        <f t="shared" si="0"/>
        <v>3510</v>
      </c>
    </row>
    <row r="17" spans="1:13" ht="12.95" customHeight="1" x14ac:dyDescent="0.2">
      <c r="A17" s="398">
        <v>13</v>
      </c>
      <c r="B17" s="405" t="s">
        <v>113</v>
      </c>
      <c r="C17" s="400" t="s">
        <v>114</v>
      </c>
      <c r="D17" s="401" t="s">
        <v>540</v>
      </c>
      <c r="E17" s="402">
        <v>2029</v>
      </c>
      <c r="F17" s="402">
        <v>0</v>
      </c>
      <c r="G17" s="402">
        <v>0</v>
      </c>
      <c r="H17" s="402">
        <v>2029</v>
      </c>
      <c r="I17" s="796"/>
      <c r="J17" s="796"/>
      <c r="K17" s="402">
        <v>2029</v>
      </c>
      <c r="L17" s="402">
        <v>0</v>
      </c>
      <c r="M17" s="402">
        <f t="shared" si="0"/>
        <v>2029</v>
      </c>
    </row>
    <row r="18" spans="1:13" ht="12.95" customHeight="1" x14ac:dyDescent="0.2">
      <c r="A18" s="398">
        <v>14</v>
      </c>
      <c r="B18" s="405" t="s">
        <v>137</v>
      </c>
      <c r="C18" s="400" t="s">
        <v>138</v>
      </c>
      <c r="D18" s="401" t="s">
        <v>540</v>
      </c>
      <c r="E18" s="402">
        <v>1650</v>
      </c>
      <c r="F18" s="402">
        <v>0</v>
      </c>
      <c r="G18" s="402">
        <v>0</v>
      </c>
      <c r="H18" s="402">
        <v>1650</v>
      </c>
      <c r="I18" s="796"/>
      <c r="J18" s="796"/>
      <c r="K18" s="402">
        <v>1650</v>
      </c>
      <c r="L18" s="402">
        <v>0</v>
      </c>
      <c r="M18" s="402">
        <f t="shared" si="0"/>
        <v>1650</v>
      </c>
    </row>
    <row r="19" spans="1:13" ht="12.95" customHeight="1" x14ac:dyDescent="0.2">
      <c r="A19" s="398">
        <v>15</v>
      </c>
      <c r="B19" s="405" t="s">
        <v>115</v>
      </c>
      <c r="C19" s="400" t="s">
        <v>116</v>
      </c>
      <c r="D19" s="401" t="s">
        <v>540</v>
      </c>
      <c r="E19" s="402">
        <v>2445</v>
      </c>
      <c r="F19" s="402">
        <v>0</v>
      </c>
      <c r="G19" s="402">
        <v>0</v>
      </c>
      <c r="H19" s="402">
        <v>2445</v>
      </c>
      <c r="I19" s="796"/>
      <c r="J19" s="796"/>
      <c r="K19" s="402">
        <v>2445</v>
      </c>
      <c r="L19" s="402">
        <v>0</v>
      </c>
      <c r="M19" s="402">
        <f t="shared" si="0"/>
        <v>2445</v>
      </c>
    </row>
    <row r="20" spans="1:13" ht="12.95" customHeight="1" x14ac:dyDescent="0.2">
      <c r="A20" s="398">
        <v>16</v>
      </c>
      <c r="B20" s="399" t="s">
        <v>42</v>
      </c>
      <c r="C20" s="400" t="s">
        <v>43</v>
      </c>
      <c r="D20" s="401" t="s">
        <v>540</v>
      </c>
      <c r="E20" s="402">
        <v>3472</v>
      </c>
      <c r="F20" s="402">
        <v>1</v>
      </c>
      <c r="G20" s="402">
        <v>0</v>
      </c>
      <c r="H20" s="402">
        <v>3471</v>
      </c>
      <c r="I20" s="796"/>
      <c r="J20" s="796"/>
      <c r="K20" s="402">
        <v>3472</v>
      </c>
      <c r="L20" s="402">
        <v>0</v>
      </c>
      <c r="M20" s="402">
        <f t="shared" si="0"/>
        <v>3472</v>
      </c>
    </row>
    <row r="21" spans="1:13" ht="12.95" customHeight="1" x14ac:dyDescent="0.2">
      <c r="A21" s="398">
        <v>17</v>
      </c>
      <c r="B21" s="404" t="s">
        <v>177</v>
      </c>
      <c r="C21" s="400" t="s">
        <v>178</v>
      </c>
      <c r="D21" s="401" t="s">
        <v>540</v>
      </c>
      <c r="E21" s="402">
        <v>4270</v>
      </c>
      <c r="F21" s="402">
        <v>0</v>
      </c>
      <c r="G21" s="402">
        <v>0</v>
      </c>
      <c r="H21" s="402">
        <v>4270</v>
      </c>
      <c r="I21" s="796"/>
      <c r="J21" s="796"/>
      <c r="K21" s="402">
        <v>4270</v>
      </c>
      <c r="L21" s="402">
        <v>0</v>
      </c>
      <c r="M21" s="402">
        <f t="shared" si="0"/>
        <v>4270</v>
      </c>
    </row>
    <row r="22" spans="1:13" ht="12.95" customHeight="1" x14ac:dyDescent="0.2">
      <c r="A22" s="398">
        <v>18</v>
      </c>
      <c r="B22" s="399" t="s">
        <v>179</v>
      </c>
      <c r="C22" s="400" t="s">
        <v>180</v>
      </c>
      <c r="D22" s="401" t="s">
        <v>540</v>
      </c>
      <c r="E22" s="402">
        <v>1609</v>
      </c>
      <c r="F22" s="402">
        <v>0</v>
      </c>
      <c r="G22" s="402">
        <v>0</v>
      </c>
      <c r="H22" s="402">
        <v>1609</v>
      </c>
      <c r="I22" s="796"/>
      <c r="J22" s="796"/>
      <c r="K22" s="402">
        <v>1609</v>
      </c>
      <c r="L22" s="402">
        <v>0</v>
      </c>
      <c r="M22" s="402">
        <f t="shared" si="0"/>
        <v>1609</v>
      </c>
    </row>
    <row r="23" spans="1:13" ht="12.95" customHeight="1" x14ac:dyDescent="0.2">
      <c r="A23" s="398">
        <v>19</v>
      </c>
      <c r="B23" s="405" t="s">
        <v>139</v>
      </c>
      <c r="C23" s="400" t="s">
        <v>140</v>
      </c>
      <c r="D23" s="401" t="s">
        <v>540</v>
      </c>
      <c r="E23" s="402">
        <v>1571</v>
      </c>
      <c r="F23" s="402">
        <v>0</v>
      </c>
      <c r="G23" s="402">
        <v>0</v>
      </c>
      <c r="H23" s="402">
        <v>1571</v>
      </c>
      <c r="I23" s="796"/>
      <c r="J23" s="796"/>
      <c r="K23" s="402">
        <v>1571</v>
      </c>
      <c r="L23" s="402">
        <v>0</v>
      </c>
      <c r="M23" s="402">
        <f t="shared" si="0"/>
        <v>1571</v>
      </c>
    </row>
    <row r="24" spans="1:13" ht="12.95" customHeight="1" x14ac:dyDescent="0.2">
      <c r="A24" s="398">
        <v>20</v>
      </c>
      <c r="B24" s="405" t="s">
        <v>242</v>
      </c>
      <c r="C24" s="400" t="s">
        <v>243</v>
      </c>
      <c r="D24" s="401" t="s">
        <v>540</v>
      </c>
      <c r="E24" s="402">
        <v>3590</v>
      </c>
      <c r="F24" s="402">
        <v>0</v>
      </c>
      <c r="G24" s="402">
        <v>0</v>
      </c>
      <c r="H24" s="402">
        <v>3590</v>
      </c>
      <c r="I24" s="796"/>
      <c r="J24" s="796"/>
      <c r="K24" s="402">
        <v>3590</v>
      </c>
      <c r="L24" s="402">
        <v>0</v>
      </c>
      <c r="M24" s="402">
        <f t="shared" si="0"/>
        <v>3590</v>
      </c>
    </row>
    <row r="25" spans="1:13" ht="12.95" customHeight="1" x14ac:dyDescent="0.2">
      <c r="A25" s="398">
        <v>21</v>
      </c>
      <c r="B25" s="404" t="s">
        <v>159</v>
      </c>
      <c r="C25" s="400" t="s">
        <v>160</v>
      </c>
      <c r="D25" s="401" t="s">
        <v>540</v>
      </c>
      <c r="E25" s="402">
        <v>2899</v>
      </c>
      <c r="F25" s="402">
        <v>0</v>
      </c>
      <c r="G25" s="402">
        <v>0</v>
      </c>
      <c r="H25" s="402">
        <v>2899</v>
      </c>
      <c r="I25" s="796"/>
      <c r="J25" s="796"/>
      <c r="K25" s="402">
        <v>2899</v>
      </c>
      <c r="L25" s="402">
        <v>0</v>
      </c>
      <c r="M25" s="402">
        <f t="shared" si="0"/>
        <v>2899</v>
      </c>
    </row>
    <row r="26" spans="1:13" ht="12.95" customHeight="1" x14ac:dyDescent="0.2">
      <c r="A26" s="398">
        <v>22</v>
      </c>
      <c r="B26" s="399" t="s">
        <v>119</v>
      </c>
      <c r="C26" s="400" t="s">
        <v>120</v>
      </c>
      <c r="D26" s="401" t="s">
        <v>540</v>
      </c>
      <c r="E26" s="402">
        <v>2001</v>
      </c>
      <c r="F26" s="402">
        <v>2</v>
      </c>
      <c r="G26" s="402">
        <v>0</v>
      </c>
      <c r="H26" s="402">
        <v>1999</v>
      </c>
      <c r="I26" s="796"/>
      <c r="J26" s="796"/>
      <c r="K26" s="402">
        <v>2001</v>
      </c>
      <c r="L26" s="402">
        <v>0</v>
      </c>
      <c r="M26" s="402">
        <f t="shared" si="0"/>
        <v>2001</v>
      </c>
    </row>
    <row r="27" spans="1:13" ht="12.95" customHeight="1" x14ac:dyDescent="0.2">
      <c r="A27" s="398">
        <v>23</v>
      </c>
      <c r="B27" s="399" t="s">
        <v>121</v>
      </c>
      <c r="C27" s="400" t="s">
        <v>122</v>
      </c>
      <c r="D27" s="401" t="s">
        <v>540</v>
      </c>
      <c r="E27" s="402">
        <v>2970</v>
      </c>
      <c r="F27" s="402">
        <v>0</v>
      </c>
      <c r="G27" s="402">
        <v>0</v>
      </c>
      <c r="H27" s="402">
        <v>2970</v>
      </c>
      <c r="I27" s="796"/>
      <c r="J27" s="796"/>
      <c r="K27" s="402">
        <v>2970</v>
      </c>
      <c r="L27" s="402">
        <v>0</v>
      </c>
      <c r="M27" s="402">
        <f t="shared" si="0"/>
        <v>2970</v>
      </c>
    </row>
    <row r="28" spans="1:13" ht="12.95" customHeight="1" x14ac:dyDescent="0.2">
      <c r="A28" s="398">
        <v>24</v>
      </c>
      <c r="B28" s="405" t="s">
        <v>244</v>
      </c>
      <c r="C28" s="400" t="s">
        <v>245</v>
      </c>
      <c r="D28" s="401" t="s">
        <v>540</v>
      </c>
      <c r="E28" s="402">
        <v>4644</v>
      </c>
      <c r="F28" s="402">
        <v>2</v>
      </c>
      <c r="G28" s="402">
        <v>0</v>
      </c>
      <c r="H28" s="402">
        <v>4642</v>
      </c>
      <c r="I28" s="796"/>
      <c r="J28" s="796"/>
      <c r="K28" s="402">
        <v>4644</v>
      </c>
      <c r="L28" s="402">
        <v>0</v>
      </c>
      <c r="M28" s="402">
        <f t="shared" si="0"/>
        <v>4644</v>
      </c>
    </row>
    <row r="29" spans="1:13" ht="12.95" customHeight="1" x14ac:dyDescent="0.2">
      <c r="A29" s="398">
        <v>25</v>
      </c>
      <c r="B29" s="399" t="s">
        <v>246</v>
      </c>
      <c r="C29" s="400" t="s">
        <v>247</v>
      </c>
      <c r="D29" s="401" t="s">
        <v>540</v>
      </c>
      <c r="E29" s="402">
        <v>1687</v>
      </c>
      <c r="F29" s="402">
        <v>0</v>
      </c>
      <c r="G29" s="402">
        <v>0</v>
      </c>
      <c r="H29" s="402">
        <v>1687</v>
      </c>
      <c r="I29" s="796"/>
      <c r="J29" s="796"/>
      <c r="K29" s="402">
        <v>1687</v>
      </c>
      <c r="L29" s="402">
        <v>0</v>
      </c>
      <c r="M29" s="402">
        <f t="shared" si="0"/>
        <v>1687</v>
      </c>
    </row>
    <row r="30" spans="1:13" ht="12.95" customHeight="1" x14ac:dyDescent="0.2">
      <c r="A30" s="398">
        <v>26</v>
      </c>
      <c r="B30" s="399" t="s">
        <v>123</v>
      </c>
      <c r="C30" s="400" t="s">
        <v>124</v>
      </c>
      <c r="D30" s="401" t="s">
        <v>540</v>
      </c>
      <c r="E30" s="402">
        <v>2128</v>
      </c>
      <c r="F30" s="402">
        <v>0</v>
      </c>
      <c r="G30" s="402">
        <v>0</v>
      </c>
      <c r="H30" s="402">
        <v>2128</v>
      </c>
      <c r="I30" s="796"/>
      <c r="J30" s="796"/>
      <c r="K30" s="402">
        <v>2128</v>
      </c>
      <c r="L30" s="402">
        <v>0</v>
      </c>
      <c r="M30" s="402">
        <f t="shared" si="0"/>
        <v>2128</v>
      </c>
    </row>
    <row r="31" spans="1:13" ht="12.95" customHeight="1" x14ac:dyDescent="0.2">
      <c r="A31" s="398">
        <v>27</v>
      </c>
      <c r="B31" s="404" t="s">
        <v>161</v>
      </c>
      <c r="C31" s="400" t="s">
        <v>162</v>
      </c>
      <c r="D31" s="401" t="s">
        <v>540</v>
      </c>
      <c r="E31" s="402">
        <v>3247</v>
      </c>
      <c r="F31" s="402">
        <v>0</v>
      </c>
      <c r="G31" s="402">
        <v>0</v>
      </c>
      <c r="H31" s="402">
        <v>3247</v>
      </c>
      <c r="I31" s="796"/>
      <c r="J31" s="796"/>
      <c r="K31" s="402">
        <v>3247</v>
      </c>
      <c r="L31" s="402">
        <v>0</v>
      </c>
      <c r="M31" s="402">
        <f t="shared" si="0"/>
        <v>3247</v>
      </c>
    </row>
    <row r="32" spans="1:13" ht="12.95" customHeight="1" x14ac:dyDescent="0.2">
      <c r="A32" s="398">
        <v>28</v>
      </c>
      <c r="B32" s="405" t="s">
        <v>248</v>
      </c>
      <c r="C32" s="400" t="s">
        <v>249</v>
      </c>
      <c r="D32" s="401" t="s">
        <v>540</v>
      </c>
      <c r="E32" s="402">
        <v>2561</v>
      </c>
      <c r="F32" s="402">
        <v>0</v>
      </c>
      <c r="G32" s="402">
        <v>0</v>
      </c>
      <c r="H32" s="402">
        <v>2561</v>
      </c>
      <c r="I32" s="796"/>
      <c r="J32" s="796"/>
      <c r="K32" s="402">
        <v>2561</v>
      </c>
      <c r="L32" s="402">
        <v>0</v>
      </c>
      <c r="M32" s="402">
        <f t="shared" si="0"/>
        <v>2561</v>
      </c>
    </row>
    <row r="33" spans="1:13" ht="12.95" customHeight="1" x14ac:dyDescent="0.2">
      <c r="A33" s="398">
        <v>29</v>
      </c>
      <c r="B33" s="399" t="s">
        <v>125</v>
      </c>
      <c r="C33" s="400" t="s">
        <v>126</v>
      </c>
      <c r="D33" s="401" t="s">
        <v>540</v>
      </c>
      <c r="E33" s="402">
        <v>2690</v>
      </c>
      <c r="F33" s="402">
        <v>0</v>
      </c>
      <c r="G33" s="402">
        <v>0</v>
      </c>
      <c r="H33" s="402">
        <v>2690</v>
      </c>
      <c r="I33" s="796"/>
      <c r="J33" s="796"/>
      <c r="K33" s="402">
        <v>2690</v>
      </c>
      <c r="L33" s="402">
        <v>0</v>
      </c>
      <c r="M33" s="402">
        <f t="shared" si="0"/>
        <v>2690</v>
      </c>
    </row>
    <row r="34" spans="1:13" ht="12.95" customHeight="1" x14ac:dyDescent="0.2">
      <c r="A34" s="398">
        <v>30</v>
      </c>
      <c r="B34" s="404" t="s">
        <v>181</v>
      </c>
      <c r="C34" s="400" t="s">
        <v>182</v>
      </c>
      <c r="D34" s="401" t="s">
        <v>540</v>
      </c>
      <c r="E34" s="402">
        <v>3074</v>
      </c>
      <c r="F34" s="402">
        <v>0</v>
      </c>
      <c r="G34" s="402">
        <v>0</v>
      </c>
      <c r="H34" s="402">
        <v>3074</v>
      </c>
      <c r="I34" s="796"/>
      <c r="J34" s="796"/>
      <c r="K34" s="402">
        <v>3074</v>
      </c>
      <c r="L34" s="402">
        <v>0</v>
      </c>
      <c r="M34" s="402">
        <f t="shared" si="0"/>
        <v>3074</v>
      </c>
    </row>
    <row r="35" spans="1:13" ht="12.95" customHeight="1" x14ac:dyDescent="0.2">
      <c r="A35" s="398">
        <v>31</v>
      </c>
      <c r="B35" s="407" t="s">
        <v>163</v>
      </c>
      <c r="C35" s="400" t="s">
        <v>164</v>
      </c>
      <c r="D35" s="401" t="s">
        <v>540</v>
      </c>
      <c r="E35" s="402">
        <v>3319</v>
      </c>
      <c r="F35" s="402">
        <v>0</v>
      </c>
      <c r="G35" s="402">
        <v>0</v>
      </c>
      <c r="H35" s="402">
        <v>3319</v>
      </c>
      <c r="I35" s="796"/>
      <c r="J35" s="796"/>
      <c r="K35" s="402">
        <v>3319</v>
      </c>
      <c r="L35" s="402">
        <v>0</v>
      </c>
      <c r="M35" s="402">
        <f t="shared" si="0"/>
        <v>3319</v>
      </c>
    </row>
    <row r="36" spans="1:13" ht="12.95" customHeight="1" x14ac:dyDescent="0.2">
      <c r="A36" s="398">
        <v>32</v>
      </c>
      <c r="B36" s="399" t="s">
        <v>252</v>
      </c>
      <c r="C36" s="400" t="s">
        <v>253</v>
      </c>
      <c r="D36" s="401" t="s">
        <v>540</v>
      </c>
      <c r="E36" s="402">
        <v>1993</v>
      </c>
      <c r="F36" s="402">
        <v>0</v>
      </c>
      <c r="G36" s="402">
        <v>0</v>
      </c>
      <c r="H36" s="402">
        <v>1993</v>
      </c>
      <c r="I36" s="796"/>
      <c r="J36" s="796"/>
      <c r="K36" s="402">
        <v>1993</v>
      </c>
      <c r="L36" s="402">
        <v>0</v>
      </c>
      <c r="M36" s="402">
        <f t="shared" si="0"/>
        <v>1993</v>
      </c>
    </row>
    <row r="37" spans="1:13" ht="12.95" customHeight="1" x14ac:dyDescent="0.2">
      <c r="A37" s="398">
        <v>33</v>
      </c>
      <c r="B37" s="399" t="s">
        <v>183</v>
      </c>
      <c r="C37" s="400" t="s">
        <v>184</v>
      </c>
      <c r="D37" s="401" t="s">
        <v>540</v>
      </c>
      <c r="E37" s="402">
        <v>4358</v>
      </c>
      <c r="F37" s="402">
        <v>0</v>
      </c>
      <c r="G37" s="402">
        <v>0</v>
      </c>
      <c r="H37" s="402">
        <v>4358</v>
      </c>
      <c r="I37" s="796"/>
      <c r="J37" s="796"/>
      <c r="K37" s="402">
        <v>4358</v>
      </c>
      <c r="L37" s="402">
        <v>0</v>
      </c>
      <c r="M37" s="402">
        <f t="shared" si="0"/>
        <v>4358</v>
      </c>
    </row>
    <row r="38" spans="1:13" ht="12.95" customHeight="1" x14ac:dyDescent="0.2">
      <c r="A38" s="398">
        <v>34</v>
      </c>
      <c r="B38" s="405" t="s">
        <v>165</v>
      </c>
      <c r="C38" s="400" t="s">
        <v>166</v>
      </c>
      <c r="D38" s="401" t="s">
        <v>540</v>
      </c>
      <c r="E38" s="402">
        <v>2031</v>
      </c>
      <c r="F38" s="402">
        <v>0</v>
      </c>
      <c r="G38" s="402">
        <v>0</v>
      </c>
      <c r="H38" s="402">
        <v>2031</v>
      </c>
      <c r="I38" s="796"/>
      <c r="J38" s="796"/>
      <c r="K38" s="402">
        <v>2031</v>
      </c>
      <c r="L38" s="402">
        <v>0</v>
      </c>
      <c r="M38" s="402">
        <f t="shared" si="0"/>
        <v>2031</v>
      </c>
    </row>
    <row r="39" spans="1:13" ht="12.95" customHeight="1" x14ac:dyDescent="0.2">
      <c r="A39" s="398">
        <v>35</v>
      </c>
      <c r="B39" s="405" t="s">
        <v>86</v>
      </c>
      <c r="C39" s="400" t="s">
        <v>87</v>
      </c>
      <c r="D39" s="401" t="s">
        <v>540</v>
      </c>
      <c r="E39" s="402">
        <v>2825</v>
      </c>
      <c r="F39" s="402">
        <v>0</v>
      </c>
      <c r="G39" s="402">
        <v>0</v>
      </c>
      <c r="H39" s="402">
        <v>2825</v>
      </c>
      <c r="I39" s="796"/>
      <c r="J39" s="796"/>
      <c r="K39" s="402">
        <v>2825</v>
      </c>
      <c r="L39" s="402">
        <v>0</v>
      </c>
      <c r="M39" s="402">
        <f t="shared" si="0"/>
        <v>2825</v>
      </c>
    </row>
    <row r="40" spans="1:13" ht="12.95" customHeight="1" x14ac:dyDescent="0.2">
      <c r="A40" s="398">
        <v>36</v>
      </c>
      <c r="B40" s="399" t="s">
        <v>167</v>
      </c>
      <c r="C40" s="400" t="s">
        <v>168</v>
      </c>
      <c r="D40" s="401" t="s">
        <v>540</v>
      </c>
      <c r="E40" s="402">
        <v>1598</v>
      </c>
      <c r="F40" s="402">
        <v>0</v>
      </c>
      <c r="G40" s="402">
        <v>0</v>
      </c>
      <c r="H40" s="402">
        <v>1598</v>
      </c>
      <c r="I40" s="796"/>
      <c r="J40" s="796"/>
      <c r="K40" s="402">
        <v>1598</v>
      </c>
      <c r="L40" s="402">
        <v>0</v>
      </c>
      <c r="M40" s="402">
        <f t="shared" si="0"/>
        <v>1598</v>
      </c>
    </row>
    <row r="41" spans="1:13" ht="12.95" customHeight="1" x14ac:dyDescent="0.2">
      <c r="A41" s="398">
        <v>37</v>
      </c>
      <c r="B41" s="399" t="s">
        <v>254</v>
      </c>
      <c r="C41" s="400" t="s">
        <v>255</v>
      </c>
      <c r="D41" s="401" t="s">
        <v>540</v>
      </c>
      <c r="E41" s="402">
        <v>2836</v>
      </c>
      <c r="F41" s="402">
        <v>0</v>
      </c>
      <c r="G41" s="402">
        <v>0</v>
      </c>
      <c r="H41" s="402">
        <v>2836</v>
      </c>
      <c r="I41" s="796"/>
      <c r="J41" s="796"/>
      <c r="K41" s="402">
        <v>2836</v>
      </c>
      <c r="L41" s="402">
        <v>0</v>
      </c>
      <c r="M41" s="402">
        <f t="shared" si="0"/>
        <v>2836</v>
      </c>
    </row>
    <row r="42" spans="1:13" ht="12.95" customHeight="1" x14ac:dyDescent="0.2">
      <c r="A42" s="398">
        <v>38</v>
      </c>
      <c r="B42" s="405" t="s">
        <v>256</v>
      </c>
      <c r="C42" s="400" t="s">
        <v>257</v>
      </c>
      <c r="D42" s="401" t="s">
        <v>540</v>
      </c>
      <c r="E42" s="402">
        <v>4217</v>
      </c>
      <c r="F42" s="402">
        <v>0</v>
      </c>
      <c r="G42" s="402">
        <v>0</v>
      </c>
      <c r="H42" s="402">
        <v>4217</v>
      </c>
      <c r="I42" s="796"/>
      <c r="J42" s="796"/>
      <c r="K42" s="402">
        <v>4217</v>
      </c>
      <c r="L42" s="402">
        <v>0</v>
      </c>
      <c r="M42" s="402">
        <f t="shared" si="0"/>
        <v>4217</v>
      </c>
    </row>
    <row r="43" spans="1:13" ht="12.95" customHeight="1" x14ac:dyDescent="0.2">
      <c r="A43" s="398">
        <v>39</v>
      </c>
      <c r="B43" s="399" t="s">
        <v>187</v>
      </c>
      <c r="C43" s="400" t="s">
        <v>188</v>
      </c>
      <c r="D43" s="401" t="s">
        <v>540</v>
      </c>
      <c r="E43" s="402">
        <v>2577</v>
      </c>
      <c r="F43" s="402">
        <v>0</v>
      </c>
      <c r="G43" s="402">
        <v>0</v>
      </c>
      <c r="H43" s="402">
        <v>2577</v>
      </c>
      <c r="I43" s="796"/>
      <c r="J43" s="796"/>
      <c r="K43" s="402">
        <v>2577</v>
      </c>
      <c r="L43" s="402">
        <v>0</v>
      </c>
      <c r="M43" s="402">
        <f t="shared" si="0"/>
        <v>2577</v>
      </c>
    </row>
    <row r="44" spans="1:13" ht="12.95" customHeight="1" x14ac:dyDescent="0.2">
      <c r="A44" s="398">
        <v>40</v>
      </c>
      <c r="B44" s="404" t="s">
        <v>76</v>
      </c>
      <c r="C44" s="400" t="s">
        <v>77</v>
      </c>
      <c r="D44" s="401" t="s">
        <v>540</v>
      </c>
      <c r="E44" s="402">
        <v>2122</v>
      </c>
      <c r="F44" s="402">
        <v>0</v>
      </c>
      <c r="G44" s="402">
        <v>0</v>
      </c>
      <c r="H44" s="402">
        <v>2122</v>
      </c>
      <c r="I44" s="796"/>
      <c r="J44" s="796"/>
      <c r="K44" s="402">
        <v>2122</v>
      </c>
      <c r="L44" s="402">
        <v>0</v>
      </c>
      <c r="M44" s="402">
        <f t="shared" si="0"/>
        <v>2122</v>
      </c>
    </row>
    <row r="45" spans="1:13" ht="12.95" customHeight="1" x14ac:dyDescent="0.2">
      <c r="A45" s="398">
        <v>41</v>
      </c>
      <c r="B45" s="399" t="s">
        <v>127</v>
      </c>
      <c r="C45" s="400" t="s">
        <v>128</v>
      </c>
      <c r="D45" s="401" t="s">
        <v>540</v>
      </c>
      <c r="E45" s="402">
        <v>5312</v>
      </c>
      <c r="F45" s="402">
        <v>0</v>
      </c>
      <c r="G45" s="402">
        <v>0</v>
      </c>
      <c r="H45" s="402">
        <v>5312</v>
      </c>
      <c r="I45" s="796"/>
      <c r="J45" s="796"/>
      <c r="K45" s="402">
        <v>5312</v>
      </c>
      <c r="L45" s="402">
        <v>0</v>
      </c>
      <c r="M45" s="402">
        <f t="shared" si="0"/>
        <v>5312</v>
      </c>
    </row>
    <row r="46" spans="1:13" ht="12.95" customHeight="1" x14ac:dyDescent="0.2">
      <c r="A46" s="398">
        <v>42</v>
      </c>
      <c r="B46" s="405" t="s">
        <v>44</v>
      </c>
      <c r="C46" s="400" t="s">
        <v>541</v>
      </c>
      <c r="D46" s="401" t="s">
        <v>540</v>
      </c>
      <c r="E46" s="402">
        <v>1028</v>
      </c>
      <c r="F46" s="402">
        <v>0</v>
      </c>
      <c r="G46" s="402">
        <v>0</v>
      </c>
      <c r="H46" s="402">
        <v>1028</v>
      </c>
      <c r="I46" s="796"/>
      <c r="J46" s="796"/>
      <c r="K46" s="402">
        <v>1028</v>
      </c>
      <c r="L46" s="402">
        <v>0</v>
      </c>
      <c r="M46" s="402">
        <f t="shared" si="0"/>
        <v>1028</v>
      </c>
    </row>
    <row r="47" spans="1:13" ht="12.95" customHeight="1" x14ac:dyDescent="0.2">
      <c r="A47" s="398">
        <v>43</v>
      </c>
      <c r="B47" s="405" t="s">
        <v>50</v>
      </c>
      <c r="C47" s="400" t="s">
        <v>542</v>
      </c>
      <c r="D47" s="401" t="s">
        <v>543</v>
      </c>
      <c r="E47" s="402">
        <v>2909</v>
      </c>
      <c r="F47" s="402">
        <v>0</v>
      </c>
      <c r="G47" s="402">
        <v>0</v>
      </c>
      <c r="H47" s="402">
        <v>2909</v>
      </c>
      <c r="I47" s="796"/>
      <c r="J47" s="796"/>
      <c r="K47" s="402">
        <v>2909</v>
      </c>
      <c r="L47" s="402">
        <v>900</v>
      </c>
      <c r="M47" s="402">
        <f t="shared" si="0"/>
        <v>3809</v>
      </c>
    </row>
    <row r="48" spans="1:13" ht="12.95" customHeight="1" x14ac:dyDescent="0.2">
      <c r="A48" s="398">
        <v>44</v>
      </c>
      <c r="B48" s="399" t="s">
        <v>151</v>
      </c>
      <c r="C48" s="400" t="s">
        <v>544</v>
      </c>
      <c r="D48" s="401" t="s">
        <v>543</v>
      </c>
      <c r="E48" s="402">
        <v>4986</v>
      </c>
      <c r="F48" s="402">
        <v>0</v>
      </c>
      <c r="G48" s="402">
        <v>0</v>
      </c>
      <c r="H48" s="402">
        <v>4986</v>
      </c>
      <c r="I48" s="796"/>
      <c r="J48" s="796"/>
      <c r="K48" s="402">
        <v>4986</v>
      </c>
      <c r="L48" s="402">
        <v>720</v>
      </c>
      <c r="M48" s="402">
        <f t="shared" si="0"/>
        <v>5706</v>
      </c>
    </row>
    <row r="49" spans="1:15" ht="12.95" customHeight="1" x14ac:dyDescent="0.2">
      <c r="A49" s="398">
        <v>45</v>
      </c>
      <c r="B49" s="399" t="s">
        <v>305</v>
      </c>
      <c r="C49" s="400" t="s">
        <v>306</v>
      </c>
      <c r="D49" s="401" t="s">
        <v>543</v>
      </c>
      <c r="E49" s="402">
        <v>23976</v>
      </c>
      <c r="F49" s="402">
        <v>0</v>
      </c>
      <c r="G49" s="402">
        <v>3335</v>
      </c>
      <c r="H49" s="402">
        <v>20641</v>
      </c>
      <c r="I49" s="796"/>
      <c r="J49" s="796"/>
      <c r="K49" s="402">
        <v>23976</v>
      </c>
      <c r="L49" s="402">
        <v>0</v>
      </c>
      <c r="M49" s="402">
        <f t="shared" si="0"/>
        <v>23976</v>
      </c>
    </row>
    <row r="50" spans="1:15" ht="12.95" customHeight="1" x14ac:dyDescent="0.2">
      <c r="A50" s="398">
        <v>46</v>
      </c>
      <c r="B50" s="405" t="s">
        <v>173</v>
      </c>
      <c r="C50" s="400" t="s">
        <v>174</v>
      </c>
      <c r="D50" s="401" t="s">
        <v>545</v>
      </c>
      <c r="E50" s="402">
        <v>13431</v>
      </c>
      <c r="F50" s="402">
        <v>4</v>
      </c>
      <c r="G50" s="402">
        <v>0</v>
      </c>
      <c r="H50" s="402">
        <v>13427</v>
      </c>
      <c r="I50" s="796"/>
      <c r="J50" s="796"/>
      <c r="K50" s="402">
        <v>13431</v>
      </c>
      <c r="L50" s="402">
        <v>0</v>
      </c>
      <c r="M50" s="402">
        <f t="shared" si="0"/>
        <v>13431</v>
      </c>
    </row>
    <row r="51" spans="1:15" ht="12.95" customHeight="1" x14ac:dyDescent="0.2">
      <c r="A51" s="398">
        <v>47</v>
      </c>
      <c r="B51" s="399" t="s">
        <v>80</v>
      </c>
      <c r="C51" s="400" t="s">
        <v>81</v>
      </c>
      <c r="D51" s="401" t="s">
        <v>545</v>
      </c>
      <c r="E51" s="402">
        <v>9025</v>
      </c>
      <c r="F51" s="402">
        <v>0</v>
      </c>
      <c r="G51" s="402">
        <v>0</v>
      </c>
      <c r="H51" s="402">
        <v>9025</v>
      </c>
      <c r="I51" s="796"/>
      <c r="J51" s="796"/>
      <c r="K51" s="402">
        <v>9025</v>
      </c>
      <c r="L51" s="402">
        <v>0</v>
      </c>
      <c r="M51" s="402">
        <f t="shared" si="0"/>
        <v>9025</v>
      </c>
    </row>
    <row r="52" spans="1:15" ht="12.95" customHeight="1" x14ac:dyDescent="0.2">
      <c r="A52" s="398">
        <v>48</v>
      </c>
      <c r="B52" s="399" t="s">
        <v>217</v>
      </c>
      <c r="C52" s="400" t="s">
        <v>546</v>
      </c>
      <c r="D52" s="401" t="s">
        <v>545</v>
      </c>
      <c r="E52" s="402">
        <v>10504</v>
      </c>
      <c r="F52" s="402">
        <v>1</v>
      </c>
      <c r="G52" s="402">
        <v>600</v>
      </c>
      <c r="H52" s="402">
        <v>9903</v>
      </c>
      <c r="I52" s="796"/>
      <c r="J52" s="796"/>
      <c r="K52" s="402">
        <v>10504</v>
      </c>
      <c r="L52" s="402">
        <v>400</v>
      </c>
      <c r="M52" s="402">
        <f t="shared" si="0"/>
        <v>10904</v>
      </c>
      <c r="O52" s="403"/>
    </row>
    <row r="53" spans="1:15" ht="12.95" customHeight="1" x14ac:dyDescent="0.2">
      <c r="A53" s="398">
        <v>49</v>
      </c>
      <c r="B53" s="405" t="s">
        <v>20</v>
      </c>
      <c r="C53" s="400" t="s">
        <v>21</v>
      </c>
      <c r="D53" s="401" t="s">
        <v>545</v>
      </c>
      <c r="E53" s="402">
        <v>8150</v>
      </c>
      <c r="F53" s="402">
        <v>0</v>
      </c>
      <c r="G53" s="402">
        <v>0</v>
      </c>
      <c r="H53" s="402">
        <v>8150</v>
      </c>
      <c r="I53" s="796"/>
      <c r="J53" s="796"/>
      <c r="K53" s="402">
        <v>8150</v>
      </c>
      <c r="L53" s="402">
        <v>0</v>
      </c>
      <c r="M53" s="402">
        <f t="shared" si="0"/>
        <v>8150</v>
      </c>
    </row>
    <row r="54" spans="1:15" ht="12.95" customHeight="1" x14ac:dyDescent="0.2">
      <c r="A54" s="398">
        <v>50</v>
      </c>
      <c r="B54" s="405" t="s">
        <v>82</v>
      </c>
      <c r="C54" s="400" t="s">
        <v>83</v>
      </c>
      <c r="D54" s="401" t="s">
        <v>545</v>
      </c>
      <c r="E54" s="402">
        <v>10184</v>
      </c>
      <c r="F54" s="402">
        <v>3</v>
      </c>
      <c r="G54" s="402">
        <v>0</v>
      </c>
      <c r="H54" s="402">
        <v>10181</v>
      </c>
      <c r="I54" s="796"/>
      <c r="J54" s="796"/>
      <c r="K54" s="402">
        <v>10184</v>
      </c>
      <c r="L54" s="402">
        <v>0</v>
      </c>
      <c r="M54" s="402">
        <f t="shared" si="0"/>
        <v>10184</v>
      </c>
    </row>
    <row r="55" spans="1:15" ht="12.95" customHeight="1" x14ac:dyDescent="0.2">
      <c r="A55" s="398">
        <v>51</v>
      </c>
      <c r="B55" s="399" t="s">
        <v>185</v>
      </c>
      <c r="C55" s="400" t="s">
        <v>186</v>
      </c>
      <c r="D55" s="401" t="s">
        <v>545</v>
      </c>
      <c r="E55" s="402">
        <v>19471</v>
      </c>
      <c r="F55" s="402">
        <v>9</v>
      </c>
      <c r="G55" s="402">
        <v>870</v>
      </c>
      <c r="H55" s="402">
        <v>18592</v>
      </c>
      <c r="I55" s="796"/>
      <c r="J55" s="796"/>
      <c r="K55" s="402">
        <v>19471</v>
      </c>
      <c r="L55" s="402">
        <v>0</v>
      </c>
      <c r="M55" s="402">
        <f t="shared" si="0"/>
        <v>19471</v>
      </c>
    </row>
    <row r="56" spans="1:15" ht="12.95" customHeight="1" x14ac:dyDescent="0.2">
      <c r="A56" s="398">
        <v>52</v>
      </c>
      <c r="B56" s="405" t="s">
        <v>84</v>
      </c>
      <c r="C56" s="408" t="s">
        <v>85</v>
      </c>
      <c r="D56" s="401" t="s">
        <v>545</v>
      </c>
      <c r="E56" s="402">
        <v>9218</v>
      </c>
      <c r="F56" s="402">
        <v>22</v>
      </c>
      <c r="G56" s="402">
        <v>0</v>
      </c>
      <c r="H56" s="402">
        <v>9196</v>
      </c>
      <c r="I56" s="796"/>
      <c r="J56" s="796"/>
      <c r="K56" s="402">
        <v>9218</v>
      </c>
      <c r="L56" s="402">
        <v>416</v>
      </c>
      <c r="M56" s="402">
        <f t="shared" si="0"/>
        <v>9634</v>
      </c>
    </row>
    <row r="57" spans="1:15" ht="12.95" customHeight="1" x14ac:dyDescent="0.2">
      <c r="A57" s="398">
        <v>53</v>
      </c>
      <c r="B57" s="399" t="s">
        <v>74</v>
      </c>
      <c r="C57" s="400" t="s">
        <v>547</v>
      </c>
      <c r="D57" s="401" t="s">
        <v>545</v>
      </c>
      <c r="E57" s="402">
        <v>6495</v>
      </c>
      <c r="F57" s="402">
        <v>0</v>
      </c>
      <c r="G57" s="402">
        <v>0</v>
      </c>
      <c r="H57" s="402">
        <v>6495</v>
      </c>
      <c r="I57" s="796"/>
      <c r="J57" s="796"/>
      <c r="K57" s="402">
        <v>6495</v>
      </c>
      <c r="L57" s="402">
        <v>710</v>
      </c>
      <c r="M57" s="402">
        <f t="shared" si="0"/>
        <v>7205</v>
      </c>
    </row>
    <row r="58" spans="1:15" ht="12.95" customHeight="1" x14ac:dyDescent="0.2">
      <c r="A58" s="398">
        <v>54</v>
      </c>
      <c r="B58" s="399" t="s">
        <v>317</v>
      </c>
      <c r="C58" s="400" t="s">
        <v>318</v>
      </c>
      <c r="D58" s="401" t="s">
        <v>545</v>
      </c>
      <c r="E58" s="402">
        <v>0</v>
      </c>
      <c r="F58" s="402">
        <v>0</v>
      </c>
      <c r="G58" s="402">
        <v>0</v>
      </c>
      <c r="H58" s="402">
        <v>0</v>
      </c>
      <c r="I58" s="796"/>
      <c r="J58" s="796"/>
      <c r="K58" s="402">
        <v>0</v>
      </c>
      <c r="L58" s="402">
        <v>500</v>
      </c>
      <c r="M58" s="402">
        <f t="shared" si="0"/>
        <v>500</v>
      </c>
    </row>
    <row r="59" spans="1:15" ht="12.95" customHeight="1" x14ac:dyDescent="0.2">
      <c r="A59" s="398">
        <v>55</v>
      </c>
      <c r="B59" s="399" t="s">
        <v>282</v>
      </c>
      <c r="C59" s="400" t="s">
        <v>283</v>
      </c>
      <c r="D59" s="401" t="s">
        <v>545</v>
      </c>
      <c r="E59" s="402">
        <v>314</v>
      </c>
      <c r="F59" s="402">
        <v>0</v>
      </c>
      <c r="G59" s="402">
        <v>0</v>
      </c>
      <c r="H59" s="402">
        <v>314</v>
      </c>
      <c r="I59" s="796"/>
      <c r="J59" s="796"/>
      <c r="K59" s="402">
        <v>314</v>
      </c>
      <c r="L59" s="402">
        <v>0</v>
      </c>
      <c r="M59" s="402">
        <f t="shared" si="0"/>
        <v>314</v>
      </c>
    </row>
    <row r="60" spans="1:15" ht="12.95" customHeight="1" x14ac:dyDescent="0.2">
      <c r="A60" s="398">
        <v>56</v>
      </c>
      <c r="B60" s="399" t="s">
        <v>189</v>
      </c>
      <c r="C60" s="400" t="s">
        <v>548</v>
      </c>
      <c r="D60" s="401" t="s">
        <v>549</v>
      </c>
      <c r="E60" s="402">
        <v>530</v>
      </c>
      <c r="F60" s="402">
        <v>0</v>
      </c>
      <c r="G60" s="402">
        <v>0</v>
      </c>
      <c r="H60" s="402">
        <v>530</v>
      </c>
      <c r="I60" s="402">
        <v>575</v>
      </c>
      <c r="J60" s="402">
        <v>0</v>
      </c>
      <c r="K60" s="402">
        <v>1105</v>
      </c>
      <c r="L60" s="402">
        <v>0</v>
      </c>
      <c r="M60" s="402">
        <f t="shared" si="0"/>
        <v>1105</v>
      </c>
    </row>
    <row r="61" spans="1:15" x14ac:dyDescent="0.2">
      <c r="A61" s="409">
        <v>57</v>
      </c>
      <c r="B61" s="410" t="s">
        <v>250</v>
      </c>
      <c r="C61" s="411" t="s">
        <v>251</v>
      </c>
      <c r="D61" s="412" t="s">
        <v>549</v>
      </c>
      <c r="E61" s="413">
        <v>3394</v>
      </c>
      <c r="F61" s="413">
        <v>0</v>
      </c>
      <c r="G61" s="413">
        <v>0</v>
      </c>
      <c r="H61" s="413">
        <v>3394</v>
      </c>
      <c r="I61" s="413">
        <v>94</v>
      </c>
      <c r="J61" s="413">
        <v>0</v>
      </c>
      <c r="K61" s="413">
        <v>3488</v>
      </c>
      <c r="L61" s="413">
        <v>0</v>
      </c>
      <c r="M61" s="413">
        <f t="shared" ref="M61" si="1">M62+M63</f>
        <v>3488</v>
      </c>
    </row>
    <row r="62" spans="1:15" x14ac:dyDescent="0.2">
      <c r="A62" s="414"/>
      <c r="B62" s="399"/>
      <c r="C62" s="415" t="s">
        <v>550</v>
      </c>
      <c r="D62" s="401" t="s">
        <v>551</v>
      </c>
      <c r="E62" s="402">
        <v>2995</v>
      </c>
      <c r="F62" s="402">
        <v>0</v>
      </c>
      <c r="G62" s="402">
        <v>0</v>
      </c>
      <c r="H62" s="402">
        <v>2995</v>
      </c>
      <c r="I62" s="402"/>
      <c r="J62" s="402"/>
      <c r="K62" s="402">
        <v>2995</v>
      </c>
      <c r="L62" s="402">
        <v>0</v>
      </c>
      <c r="M62" s="402">
        <f t="shared" si="0"/>
        <v>2995</v>
      </c>
    </row>
    <row r="63" spans="1:15" x14ac:dyDescent="0.2">
      <c r="A63" s="414"/>
      <c r="B63" s="399"/>
      <c r="C63" s="415" t="s">
        <v>550</v>
      </c>
      <c r="D63" s="401" t="s">
        <v>552</v>
      </c>
      <c r="E63" s="402">
        <v>399</v>
      </c>
      <c r="F63" s="402">
        <v>0</v>
      </c>
      <c r="G63" s="402">
        <v>0</v>
      </c>
      <c r="H63" s="402">
        <v>399</v>
      </c>
      <c r="I63" s="402">
        <v>94</v>
      </c>
      <c r="J63" s="402">
        <v>0</v>
      </c>
      <c r="K63" s="402">
        <v>493</v>
      </c>
      <c r="L63" s="402">
        <v>0</v>
      </c>
      <c r="M63" s="402">
        <f t="shared" si="0"/>
        <v>493</v>
      </c>
    </row>
    <row r="64" spans="1:15" x14ac:dyDescent="0.2">
      <c r="A64" s="409">
        <v>58</v>
      </c>
      <c r="B64" s="410" t="s">
        <v>169</v>
      </c>
      <c r="C64" s="411" t="s">
        <v>553</v>
      </c>
      <c r="D64" s="412" t="s">
        <v>549</v>
      </c>
      <c r="E64" s="413">
        <v>555</v>
      </c>
      <c r="F64" s="413">
        <v>3</v>
      </c>
      <c r="G64" s="413">
        <v>0</v>
      </c>
      <c r="H64" s="413">
        <v>552</v>
      </c>
      <c r="I64" s="413">
        <v>93</v>
      </c>
      <c r="J64" s="413">
        <v>0</v>
      </c>
      <c r="K64" s="413">
        <v>648</v>
      </c>
      <c r="L64" s="402">
        <v>0</v>
      </c>
      <c r="M64" s="413">
        <f t="shared" ref="M64" si="2">SUM(M65:M66)</f>
        <v>648</v>
      </c>
    </row>
    <row r="65" spans="1:14" x14ac:dyDescent="0.2">
      <c r="A65" s="414"/>
      <c r="B65" s="399"/>
      <c r="C65" s="415" t="s">
        <v>550</v>
      </c>
      <c r="D65" s="401" t="s">
        <v>545</v>
      </c>
      <c r="E65" s="402">
        <v>368</v>
      </c>
      <c r="F65" s="402">
        <v>3</v>
      </c>
      <c r="G65" s="402">
        <v>0</v>
      </c>
      <c r="H65" s="402">
        <v>365</v>
      </c>
      <c r="I65" s="402"/>
      <c r="J65" s="402"/>
      <c r="K65" s="402">
        <v>368</v>
      </c>
      <c r="L65" s="402">
        <v>0</v>
      </c>
      <c r="M65" s="402">
        <f t="shared" si="0"/>
        <v>368</v>
      </c>
    </row>
    <row r="66" spans="1:14" x14ac:dyDescent="0.2">
      <c r="A66" s="414"/>
      <c r="B66" s="399"/>
      <c r="C66" s="415" t="s">
        <v>550</v>
      </c>
      <c r="D66" s="401" t="s">
        <v>552</v>
      </c>
      <c r="E66" s="402">
        <v>187</v>
      </c>
      <c r="F66" s="402">
        <v>0</v>
      </c>
      <c r="G66" s="402">
        <v>0</v>
      </c>
      <c r="H66" s="402">
        <v>187</v>
      </c>
      <c r="I66" s="402">
        <v>93</v>
      </c>
      <c r="J66" s="402">
        <v>0</v>
      </c>
      <c r="K66" s="402">
        <v>280</v>
      </c>
      <c r="L66" s="402">
        <v>0</v>
      </c>
      <c r="M66" s="402">
        <f>K66+L66</f>
        <v>280</v>
      </c>
    </row>
    <row r="67" spans="1:14" x14ac:dyDescent="0.2">
      <c r="A67" s="409">
        <v>59</v>
      </c>
      <c r="B67" s="410" t="s">
        <v>58</v>
      </c>
      <c r="C67" s="411" t="s">
        <v>59</v>
      </c>
      <c r="D67" s="412" t="s">
        <v>549</v>
      </c>
      <c r="E67" s="413">
        <v>11328</v>
      </c>
      <c r="F67" s="413">
        <v>21</v>
      </c>
      <c r="G67" s="413">
        <v>0</v>
      </c>
      <c r="H67" s="413">
        <v>11307</v>
      </c>
      <c r="I67" s="413">
        <v>129</v>
      </c>
      <c r="J67" s="413">
        <v>0</v>
      </c>
      <c r="K67" s="413">
        <v>11457</v>
      </c>
      <c r="L67" s="402">
        <v>0</v>
      </c>
      <c r="M67" s="413">
        <f t="shared" ref="M67" si="3">SUM(M68:M69)</f>
        <v>11457</v>
      </c>
    </row>
    <row r="68" spans="1:14" x14ac:dyDescent="0.2">
      <c r="A68" s="414"/>
      <c r="B68" s="399"/>
      <c r="C68" s="415" t="s">
        <v>550</v>
      </c>
      <c r="D68" s="401" t="s">
        <v>545</v>
      </c>
      <c r="E68" s="402">
        <v>8854</v>
      </c>
      <c r="F68" s="402">
        <v>21</v>
      </c>
      <c r="G68" s="402">
        <v>0</v>
      </c>
      <c r="H68" s="402">
        <v>8833</v>
      </c>
      <c r="I68" s="402"/>
      <c r="J68" s="402"/>
      <c r="K68" s="402">
        <v>8854</v>
      </c>
      <c r="L68" s="402">
        <v>0</v>
      </c>
      <c r="M68" s="402">
        <f>K68+L68</f>
        <v>8854</v>
      </c>
    </row>
    <row r="69" spans="1:14" x14ac:dyDescent="0.2">
      <c r="A69" s="414"/>
      <c r="B69" s="399"/>
      <c r="C69" s="415" t="s">
        <v>550</v>
      </c>
      <c r="D69" s="401" t="s">
        <v>552</v>
      </c>
      <c r="E69" s="402">
        <v>2474</v>
      </c>
      <c r="F69" s="402">
        <v>0</v>
      </c>
      <c r="G69" s="402">
        <v>0</v>
      </c>
      <c r="H69" s="402">
        <v>2474</v>
      </c>
      <c r="I69" s="402">
        <v>129</v>
      </c>
      <c r="J69" s="402">
        <v>0</v>
      </c>
      <c r="K69" s="402">
        <v>2603</v>
      </c>
      <c r="L69" s="402">
        <v>0</v>
      </c>
      <c r="M69" s="402">
        <f>K69+L69</f>
        <v>2603</v>
      </c>
    </row>
    <row r="70" spans="1:14" s="418" customFormat="1" x14ac:dyDescent="0.2">
      <c r="A70" s="409">
        <v>60</v>
      </c>
      <c r="B70" s="416" t="s">
        <v>157</v>
      </c>
      <c r="C70" s="411" t="s">
        <v>554</v>
      </c>
      <c r="D70" s="412" t="s">
        <v>552</v>
      </c>
      <c r="E70" s="413">
        <v>11266</v>
      </c>
      <c r="F70" s="413">
        <v>24</v>
      </c>
      <c r="G70" s="413">
        <v>0</v>
      </c>
      <c r="H70" s="413">
        <v>11242</v>
      </c>
      <c r="I70" s="413">
        <v>195</v>
      </c>
      <c r="J70" s="413">
        <v>0</v>
      </c>
      <c r="K70" s="413">
        <v>11461</v>
      </c>
      <c r="L70" s="402">
        <v>412</v>
      </c>
      <c r="M70" s="413">
        <f>SUM(M71:M72)</f>
        <v>11873</v>
      </c>
      <c r="N70" s="417"/>
    </row>
    <row r="71" spans="1:14" x14ac:dyDescent="0.2">
      <c r="A71" s="414"/>
      <c r="B71" s="398"/>
      <c r="C71" s="415" t="s">
        <v>550</v>
      </c>
      <c r="D71" s="401" t="s">
        <v>543</v>
      </c>
      <c r="E71" s="402">
        <v>10246</v>
      </c>
      <c r="F71" s="402">
        <v>24</v>
      </c>
      <c r="G71" s="402">
        <v>0</v>
      </c>
      <c r="H71" s="402">
        <v>10222</v>
      </c>
      <c r="I71" s="796"/>
      <c r="J71" s="796"/>
      <c r="K71" s="402">
        <v>10246</v>
      </c>
      <c r="L71" s="402">
        <v>412</v>
      </c>
      <c r="M71" s="402">
        <f>K71+L71</f>
        <v>10658</v>
      </c>
    </row>
    <row r="72" spans="1:14" x14ac:dyDescent="0.2">
      <c r="A72" s="414"/>
      <c r="B72" s="398"/>
      <c r="C72" s="415" t="s">
        <v>550</v>
      </c>
      <c r="D72" s="401" t="s">
        <v>552</v>
      </c>
      <c r="E72" s="402">
        <v>1020</v>
      </c>
      <c r="F72" s="402">
        <v>0</v>
      </c>
      <c r="G72" s="402">
        <v>0</v>
      </c>
      <c r="H72" s="402">
        <v>1020</v>
      </c>
      <c r="I72" s="402">
        <v>195</v>
      </c>
      <c r="J72" s="402">
        <v>0</v>
      </c>
      <c r="K72" s="402">
        <v>1215</v>
      </c>
      <c r="L72" s="402">
        <v>0</v>
      </c>
      <c r="M72" s="402">
        <f>K72+L72</f>
        <v>1215</v>
      </c>
    </row>
    <row r="73" spans="1:14" s="418" customFormat="1" x14ac:dyDescent="0.2">
      <c r="A73" s="409">
        <v>61</v>
      </c>
      <c r="B73" s="416" t="s">
        <v>32</v>
      </c>
      <c r="C73" s="411" t="s">
        <v>33</v>
      </c>
      <c r="D73" s="412" t="s">
        <v>552</v>
      </c>
      <c r="E73" s="413">
        <v>4720</v>
      </c>
      <c r="F73" s="413">
        <v>105</v>
      </c>
      <c r="G73" s="413">
        <v>0</v>
      </c>
      <c r="H73" s="413">
        <v>4615</v>
      </c>
      <c r="I73" s="413">
        <v>261</v>
      </c>
      <c r="J73" s="413">
        <v>0</v>
      </c>
      <c r="K73" s="413">
        <v>4981</v>
      </c>
      <c r="L73" s="402">
        <v>412</v>
      </c>
      <c r="M73" s="413">
        <f>SUM(M74:M75)</f>
        <v>5393</v>
      </c>
    </row>
    <row r="74" spans="1:14" x14ac:dyDescent="0.2">
      <c r="A74" s="414"/>
      <c r="B74" s="398"/>
      <c r="C74" s="415" t="s">
        <v>550</v>
      </c>
      <c r="D74" s="401" t="s">
        <v>543</v>
      </c>
      <c r="E74" s="402">
        <v>3704</v>
      </c>
      <c r="F74" s="402">
        <v>105</v>
      </c>
      <c r="G74" s="402">
        <v>0</v>
      </c>
      <c r="H74" s="402">
        <v>3599</v>
      </c>
      <c r="I74" s="796"/>
      <c r="J74" s="796"/>
      <c r="K74" s="402">
        <v>3704</v>
      </c>
      <c r="L74" s="402">
        <v>412</v>
      </c>
      <c r="M74" s="402">
        <f>K74+L74</f>
        <v>4116</v>
      </c>
    </row>
    <row r="75" spans="1:14" x14ac:dyDescent="0.2">
      <c r="A75" s="414"/>
      <c r="B75" s="398"/>
      <c r="C75" s="415" t="s">
        <v>550</v>
      </c>
      <c r="D75" s="414" t="s">
        <v>552</v>
      </c>
      <c r="E75" s="419">
        <v>1016</v>
      </c>
      <c r="F75" s="420">
        <v>0</v>
      </c>
      <c r="G75" s="419">
        <v>0</v>
      </c>
      <c r="H75" s="419">
        <v>1016</v>
      </c>
      <c r="I75" s="421">
        <v>261</v>
      </c>
      <c r="J75" s="421">
        <v>0</v>
      </c>
      <c r="K75" s="402">
        <v>1277</v>
      </c>
      <c r="L75" s="402">
        <v>0</v>
      </c>
      <c r="M75" s="402">
        <f>K75+L75</f>
        <v>1277</v>
      </c>
    </row>
    <row r="76" spans="1:14" s="418" customFormat="1" x14ac:dyDescent="0.2">
      <c r="A76" s="409">
        <v>62</v>
      </c>
      <c r="B76" s="410" t="s">
        <v>30</v>
      </c>
      <c r="C76" s="411" t="s">
        <v>31</v>
      </c>
      <c r="D76" s="412" t="s">
        <v>552</v>
      </c>
      <c r="E76" s="413">
        <v>17794</v>
      </c>
      <c r="F76" s="413">
        <v>65</v>
      </c>
      <c r="G76" s="413">
        <v>0</v>
      </c>
      <c r="H76" s="413">
        <v>17729</v>
      </c>
      <c r="I76" s="413">
        <v>209</v>
      </c>
      <c r="J76" s="413">
        <v>0</v>
      </c>
      <c r="K76" s="413">
        <v>18003</v>
      </c>
      <c r="L76" s="402">
        <v>375</v>
      </c>
      <c r="M76" s="413">
        <f>SUM(M77:M78)</f>
        <v>18378</v>
      </c>
    </row>
    <row r="77" spans="1:14" x14ac:dyDescent="0.2">
      <c r="A77" s="414"/>
      <c r="B77" s="398"/>
      <c r="C77" s="415" t="s">
        <v>550</v>
      </c>
      <c r="D77" s="401" t="s">
        <v>543</v>
      </c>
      <c r="E77" s="402">
        <v>15015</v>
      </c>
      <c r="F77" s="402">
        <v>65</v>
      </c>
      <c r="G77" s="402">
        <v>0</v>
      </c>
      <c r="H77" s="402">
        <v>14950</v>
      </c>
      <c r="I77" s="796"/>
      <c r="J77" s="796"/>
      <c r="K77" s="402">
        <v>15015</v>
      </c>
      <c r="L77" s="402">
        <v>375</v>
      </c>
      <c r="M77" s="402">
        <f>K77+L77</f>
        <v>15390</v>
      </c>
    </row>
    <row r="78" spans="1:14" x14ac:dyDescent="0.2">
      <c r="A78" s="414"/>
      <c r="B78" s="398"/>
      <c r="C78" s="415" t="s">
        <v>550</v>
      </c>
      <c r="D78" s="420" t="s">
        <v>555</v>
      </c>
      <c r="E78" s="419">
        <v>2779</v>
      </c>
      <c r="F78" s="420">
        <v>0</v>
      </c>
      <c r="G78" s="419">
        <v>0</v>
      </c>
      <c r="H78" s="419">
        <v>2779</v>
      </c>
      <c r="I78" s="421">
        <v>209</v>
      </c>
      <c r="J78" s="421">
        <v>0</v>
      </c>
      <c r="K78" s="402">
        <v>2988</v>
      </c>
      <c r="L78" s="402">
        <v>0</v>
      </c>
      <c r="M78" s="402">
        <f>K78+L78</f>
        <v>2988</v>
      </c>
    </row>
    <row r="79" spans="1:14" s="418" customFormat="1" x14ac:dyDescent="0.2">
      <c r="A79" s="409">
        <v>63</v>
      </c>
      <c r="B79" s="410" t="s">
        <v>171</v>
      </c>
      <c r="C79" s="411" t="s">
        <v>556</v>
      </c>
      <c r="D79" s="412" t="s">
        <v>552</v>
      </c>
      <c r="E79" s="413">
        <v>15980</v>
      </c>
      <c r="F79" s="413">
        <v>32</v>
      </c>
      <c r="G79" s="413">
        <v>0</v>
      </c>
      <c r="H79" s="413">
        <v>15948</v>
      </c>
      <c r="I79" s="413">
        <v>10</v>
      </c>
      <c r="J79" s="413">
        <v>0</v>
      </c>
      <c r="K79" s="413">
        <v>15990</v>
      </c>
      <c r="L79" s="402">
        <v>721</v>
      </c>
      <c r="M79" s="413">
        <f>SUM(M80:M81)</f>
        <v>16711</v>
      </c>
    </row>
    <row r="80" spans="1:14" x14ac:dyDescent="0.2">
      <c r="A80" s="414"/>
      <c r="B80" s="398"/>
      <c r="C80" s="415" t="s">
        <v>550</v>
      </c>
      <c r="D80" s="401" t="s">
        <v>545</v>
      </c>
      <c r="E80" s="402">
        <v>15021</v>
      </c>
      <c r="F80" s="402">
        <v>32</v>
      </c>
      <c r="G80" s="402">
        <v>0</v>
      </c>
      <c r="H80" s="402">
        <v>14989</v>
      </c>
      <c r="I80" s="796"/>
      <c r="J80" s="796"/>
      <c r="K80" s="402">
        <v>15021</v>
      </c>
      <c r="L80" s="402">
        <v>721</v>
      </c>
      <c r="M80" s="402">
        <f>K80+L80</f>
        <v>15742</v>
      </c>
    </row>
    <row r="81" spans="1:13" x14ac:dyDescent="0.2">
      <c r="A81" s="414"/>
      <c r="B81" s="398"/>
      <c r="C81" s="415" t="s">
        <v>550</v>
      </c>
      <c r="D81" s="401" t="s">
        <v>552</v>
      </c>
      <c r="E81" s="419">
        <v>959</v>
      </c>
      <c r="F81" s="419">
        <v>0</v>
      </c>
      <c r="G81" s="419">
        <v>0</v>
      </c>
      <c r="H81" s="419">
        <v>959</v>
      </c>
      <c r="I81" s="421">
        <v>10</v>
      </c>
      <c r="J81" s="421">
        <v>0</v>
      </c>
      <c r="K81" s="402">
        <v>969</v>
      </c>
      <c r="L81" s="402">
        <v>0</v>
      </c>
      <c r="M81" s="402">
        <f>K81+L81</f>
        <v>969</v>
      </c>
    </row>
    <row r="82" spans="1:13" s="418" customFormat="1" x14ac:dyDescent="0.2">
      <c r="A82" s="409">
        <v>64</v>
      </c>
      <c r="B82" s="410" t="s">
        <v>117</v>
      </c>
      <c r="C82" s="411" t="s">
        <v>557</v>
      </c>
      <c r="D82" s="412" t="s">
        <v>552</v>
      </c>
      <c r="E82" s="413">
        <v>21722</v>
      </c>
      <c r="F82" s="413">
        <v>41</v>
      </c>
      <c r="G82" s="413">
        <v>0</v>
      </c>
      <c r="H82" s="413">
        <v>21681</v>
      </c>
      <c r="I82" s="413">
        <v>349</v>
      </c>
      <c r="J82" s="413">
        <v>0</v>
      </c>
      <c r="K82" s="413">
        <v>22071</v>
      </c>
      <c r="L82" s="402">
        <v>676</v>
      </c>
      <c r="M82" s="413">
        <f>SUM(M83:M84)</f>
        <v>22747</v>
      </c>
    </row>
    <row r="83" spans="1:13" x14ac:dyDescent="0.2">
      <c r="A83" s="414"/>
      <c r="B83" s="398"/>
      <c r="C83" s="415" t="s">
        <v>550</v>
      </c>
      <c r="D83" s="401" t="s">
        <v>545</v>
      </c>
      <c r="E83" s="402">
        <v>21530</v>
      </c>
      <c r="F83" s="402">
        <v>41</v>
      </c>
      <c r="G83" s="402">
        <v>0</v>
      </c>
      <c r="H83" s="402">
        <v>21489</v>
      </c>
      <c r="I83" s="796"/>
      <c r="J83" s="796"/>
      <c r="K83" s="402">
        <v>21530</v>
      </c>
      <c r="L83" s="402">
        <v>676</v>
      </c>
      <c r="M83" s="402">
        <f>K83+L83</f>
        <v>22206</v>
      </c>
    </row>
    <row r="84" spans="1:13" x14ac:dyDescent="0.2">
      <c r="A84" s="414"/>
      <c r="B84" s="398"/>
      <c r="C84" s="415" t="s">
        <v>550</v>
      </c>
      <c r="D84" s="401" t="s">
        <v>552</v>
      </c>
      <c r="E84" s="402">
        <v>192</v>
      </c>
      <c r="F84" s="402">
        <v>0</v>
      </c>
      <c r="G84" s="402">
        <v>0</v>
      </c>
      <c r="H84" s="402">
        <v>192</v>
      </c>
      <c r="I84" s="422">
        <v>349</v>
      </c>
      <c r="J84" s="422">
        <v>0</v>
      </c>
      <c r="K84" s="402">
        <v>541</v>
      </c>
      <c r="L84" s="402">
        <v>0</v>
      </c>
      <c r="M84" s="402">
        <f>K84+L84</f>
        <v>541</v>
      </c>
    </row>
    <row r="85" spans="1:13" s="418" customFormat="1" x14ac:dyDescent="0.2">
      <c r="A85" s="409">
        <v>65</v>
      </c>
      <c r="B85" s="423" t="s">
        <v>46</v>
      </c>
      <c r="C85" s="411" t="s">
        <v>558</v>
      </c>
      <c r="D85" s="412" t="s">
        <v>552</v>
      </c>
      <c r="E85" s="413">
        <v>18414</v>
      </c>
      <c r="F85" s="413">
        <v>41</v>
      </c>
      <c r="G85" s="413">
        <v>0</v>
      </c>
      <c r="H85" s="413">
        <v>18373</v>
      </c>
      <c r="I85" s="413">
        <v>511</v>
      </c>
      <c r="J85" s="413">
        <v>0</v>
      </c>
      <c r="K85" s="413">
        <v>18925</v>
      </c>
      <c r="L85" s="402">
        <v>0</v>
      </c>
      <c r="M85" s="413">
        <f>M86+M87</f>
        <v>18925</v>
      </c>
    </row>
    <row r="86" spans="1:13" x14ac:dyDescent="0.2">
      <c r="A86" s="414"/>
      <c r="B86" s="398"/>
      <c r="C86" s="415" t="s">
        <v>550</v>
      </c>
      <c r="D86" s="401" t="s">
        <v>543</v>
      </c>
      <c r="E86" s="402">
        <v>16673</v>
      </c>
      <c r="F86" s="402">
        <v>41</v>
      </c>
      <c r="G86" s="402">
        <v>0</v>
      </c>
      <c r="H86" s="402">
        <v>16632</v>
      </c>
      <c r="I86" s="796"/>
      <c r="J86" s="796"/>
      <c r="K86" s="402">
        <v>16673</v>
      </c>
      <c r="L86" s="402">
        <v>0</v>
      </c>
      <c r="M86" s="402">
        <f>K86+L86</f>
        <v>16673</v>
      </c>
    </row>
    <row r="87" spans="1:13" x14ac:dyDescent="0.2">
      <c r="A87" s="414"/>
      <c r="B87" s="398"/>
      <c r="C87" s="415" t="s">
        <v>550</v>
      </c>
      <c r="D87" s="414" t="s">
        <v>552</v>
      </c>
      <c r="E87" s="419">
        <v>1741</v>
      </c>
      <c r="F87" s="419">
        <v>0</v>
      </c>
      <c r="G87" s="419">
        <v>0</v>
      </c>
      <c r="H87" s="419">
        <v>1741</v>
      </c>
      <c r="I87" s="422">
        <v>511</v>
      </c>
      <c r="J87" s="422">
        <v>0</v>
      </c>
      <c r="K87" s="402">
        <v>2252</v>
      </c>
      <c r="L87" s="402">
        <v>0</v>
      </c>
      <c r="M87" s="402">
        <f>K87+L87</f>
        <v>2252</v>
      </c>
    </row>
    <row r="88" spans="1:13" s="418" customFormat="1" x14ac:dyDescent="0.2">
      <c r="A88" s="409">
        <v>66</v>
      </c>
      <c r="B88" s="423" t="s">
        <v>149</v>
      </c>
      <c r="C88" s="411" t="s">
        <v>559</v>
      </c>
      <c r="D88" s="412" t="s">
        <v>552</v>
      </c>
      <c r="E88" s="413">
        <v>40308</v>
      </c>
      <c r="F88" s="413">
        <v>711</v>
      </c>
      <c r="G88" s="413">
        <v>0</v>
      </c>
      <c r="H88" s="413">
        <v>39597</v>
      </c>
      <c r="I88" s="413">
        <v>1189</v>
      </c>
      <c r="J88" s="413">
        <v>178</v>
      </c>
      <c r="K88" s="413">
        <v>41497</v>
      </c>
      <c r="L88" s="402">
        <v>824</v>
      </c>
      <c r="M88" s="413">
        <f>M89+M90</f>
        <v>42321</v>
      </c>
    </row>
    <row r="89" spans="1:13" x14ac:dyDescent="0.2">
      <c r="A89" s="414"/>
      <c r="B89" s="398"/>
      <c r="C89" s="415" t="s">
        <v>550</v>
      </c>
      <c r="D89" s="401" t="s">
        <v>543</v>
      </c>
      <c r="E89" s="402">
        <v>30539</v>
      </c>
      <c r="F89" s="402">
        <v>230</v>
      </c>
      <c r="G89" s="402">
        <v>0</v>
      </c>
      <c r="H89" s="402">
        <v>30309</v>
      </c>
      <c r="I89" s="796"/>
      <c r="J89" s="796"/>
      <c r="K89" s="402">
        <v>30539</v>
      </c>
      <c r="L89" s="402">
        <v>824</v>
      </c>
      <c r="M89" s="402">
        <f>K89+L89</f>
        <v>31363</v>
      </c>
    </row>
    <row r="90" spans="1:13" x14ac:dyDescent="0.2">
      <c r="A90" s="414"/>
      <c r="B90" s="398"/>
      <c r="C90" s="415" t="s">
        <v>550</v>
      </c>
      <c r="D90" s="414" t="s">
        <v>552</v>
      </c>
      <c r="E90" s="419">
        <v>9769</v>
      </c>
      <c r="F90" s="419">
        <v>481</v>
      </c>
      <c r="G90" s="419">
        <v>0</v>
      </c>
      <c r="H90" s="419">
        <v>9288</v>
      </c>
      <c r="I90" s="421">
        <v>1189</v>
      </c>
      <c r="J90" s="421">
        <v>178</v>
      </c>
      <c r="K90" s="402">
        <v>10958</v>
      </c>
      <c r="L90" s="402">
        <v>0</v>
      </c>
      <c r="M90" s="402">
        <f>K90+L90</f>
        <v>10958</v>
      </c>
    </row>
    <row r="91" spans="1:13" s="418" customFormat="1" x14ac:dyDescent="0.2">
      <c r="A91" s="409">
        <v>67</v>
      </c>
      <c r="B91" s="423" t="s">
        <v>54</v>
      </c>
      <c r="C91" s="411" t="s">
        <v>55</v>
      </c>
      <c r="D91" s="412" t="s">
        <v>552</v>
      </c>
      <c r="E91" s="413">
        <v>11837</v>
      </c>
      <c r="F91" s="413">
        <v>976</v>
      </c>
      <c r="G91" s="413">
        <v>0</v>
      </c>
      <c r="H91" s="413">
        <v>10861</v>
      </c>
      <c r="I91" s="413">
        <v>375</v>
      </c>
      <c r="J91" s="413">
        <v>0</v>
      </c>
      <c r="K91" s="413">
        <v>12212</v>
      </c>
      <c r="L91" s="402">
        <v>686</v>
      </c>
      <c r="M91" s="413">
        <f>SUM(M92:M93)</f>
        <v>12898</v>
      </c>
    </row>
    <row r="92" spans="1:13" x14ac:dyDescent="0.2">
      <c r="A92" s="414"/>
      <c r="B92" s="398"/>
      <c r="C92" s="415" t="s">
        <v>550</v>
      </c>
      <c r="D92" s="401" t="s">
        <v>545</v>
      </c>
      <c r="E92" s="402">
        <v>6091</v>
      </c>
      <c r="F92" s="402">
        <v>77</v>
      </c>
      <c r="G92" s="402">
        <v>0</v>
      </c>
      <c r="H92" s="402">
        <v>6014</v>
      </c>
      <c r="I92" s="796"/>
      <c r="J92" s="796"/>
      <c r="K92" s="402">
        <v>6091</v>
      </c>
      <c r="L92" s="402">
        <v>686</v>
      </c>
      <c r="M92" s="402">
        <f>K92+L92</f>
        <v>6777</v>
      </c>
    </row>
    <row r="93" spans="1:13" x14ac:dyDescent="0.2">
      <c r="A93" s="414"/>
      <c r="B93" s="398"/>
      <c r="C93" s="415" t="s">
        <v>550</v>
      </c>
      <c r="D93" s="414" t="s">
        <v>552</v>
      </c>
      <c r="E93" s="419">
        <v>5746</v>
      </c>
      <c r="F93" s="419">
        <v>899</v>
      </c>
      <c r="G93" s="419">
        <v>0</v>
      </c>
      <c r="H93" s="419">
        <v>4847</v>
      </c>
      <c r="I93" s="421">
        <v>375</v>
      </c>
      <c r="J93" s="421">
        <v>0</v>
      </c>
      <c r="K93" s="402">
        <v>6121</v>
      </c>
      <c r="L93" s="402">
        <v>0</v>
      </c>
      <c r="M93" s="402">
        <f>K93+L93</f>
        <v>6121</v>
      </c>
    </row>
    <row r="94" spans="1:13" s="418" customFormat="1" x14ac:dyDescent="0.2">
      <c r="A94" s="409">
        <v>68</v>
      </c>
      <c r="B94" s="410" t="s">
        <v>52</v>
      </c>
      <c r="C94" s="411" t="s">
        <v>560</v>
      </c>
      <c r="D94" s="412" t="s">
        <v>552</v>
      </c>
      <c r="E94" s="413">
        <v>23092</v>
      </c>
      <c r="F94" s="413">
        <v>1</v>
      </c>
      <c r="G94" s="413">
        <v>0</v>
      </c>
      <c r="H94" s="413">
        <v>23091</v>
      </c>
      <c r="I94" s="413">
        <v>1296</v>
      </c>
      <c r="J94" s="413">
        <v>0</v>
      </c>
      <c r="K94" s="413">
        <v>24388</v>
      </c>
      <c r="L94" s="402">
        <v>1189</v>
      </c>
      <c r="M94" s="413">
        <f>SUM(M95:M96)</f>
        <v>25577</v>
      </c>
    </row>
    <row r="95" spans="1:13" x14ac:dyDescent="0.2">
      <c r="A95" s="414"/>
      <c r="B95" s="398"/>
      <c r="C95" s="415" t="s">
        <v>550</v>
      </c>
      <c r="D95" s="401" t="s">
        <v>545</v>
      </c>
      <c r="E95" s="402">
        <v>15248</v>
      </c>
      <c r="F95" s="402">
        <v>1</v>
      </c>
      <c r="G95" s="402">
        <v>0</v>
      </c>
      <c r="H95" s="402">
        <v>15247</v>
      </c>
      <c r="I95" s="796"/>
      <c r="J95" s="796"/>
      <c r="K95" s="402">
        <v>15248</v>
      </c>
      <c r="L95" s="402">
        <v>1189</v>
      </c>
      <c r="M95" s="402">
        <f>K95+L95</f>
        <v>16437</v>
      </c>
    </row>
    <row r="96" spans="1:13" x14ac:dyDescent="0.2">
      <c r="A96" s="414"/>
      <c r="B96" s="398"/>
      <c r="C96" s="415" t="s">
        <v>550</v>
      </c>
      <c r="D96" s="401" t="s">
        <v>552</v>
      </c>
      <c r="E96" s="402">
        <v>7844</v>
      </c>
      <c r="F96" s="402">
        <v>0</v>
      </c>
      <c r="G96" s="402">
        <v>0</v>
      </c>
      <c r="H96" s="402">
        <v>7844</v>
      </c>
      <c r="I96" s="422">
        <v>1296</v>
      </c>
      <c r="J96" s="422">
        <v>0</v>
      </c>
      <c r="K96" s="402">
        <v>9140</v>
      </c>
      <c r="L96" s="402">
        <v>0</v>
      </c>
      <c r="M96" s="402">
        <f>K96+L96</f>
        <v>9140</v>
      </c>
    </row>
    <row r="97" spans="1:14" s="418" customFormat="1" x14ac:dyDescent="0.2">
      <c r="A97" s="409">
        <v>69</v>
      </c>
      <c r="B97" s="423" t="s">
        <v>224</v>
      </c>
      <c r="C97" s="411" t="s">
        <v>225</v>
      </c>
      <c r="D97" s="412" t="s">
        <v>552</v>
      </c>
      <c r="E97" s="413">
        <v>9894</v>
      </c>
      <c r="F97" s="413">
        <v>0</v>
      </c>
      <c r="G97" s="413">
        <v>0</v>
      </c>
      <c r="H97" s="413">
        <v>9894</v>
      </c>
      <c r="I97" s="413">
        <v>115</v>
      </c>
      <c r="J97" s="413">
        <v>0</v>
      </c>
      <c r="K97" s="413">
        <v>10009</v>
      </c>
      <c r="L97" s="402">
        <v>0</v>
      </c>
      <c r="M97" s="413">
        <f>M98+M99</f>
        <v>10009</v>
      </c>
    </row>
    <row r="98" spans="1:14" x14ac:dyDescent="0.2">
      <c r="A98" s="414"/>
      <c r="B98" s="398"/>
      <c r="C98" s="415" t="s">
        <v>550</v>
      </c>
      <c r="D98" s="401" t="s">
        <v>543</v>
      </c>
      <c r="E98" s="402">
        <v>3560</v>
      </c>
      <c r="F98" s="402">
        <v>0</v>
      </c>
      <c r="G98" s="402">
        <v>0</v>
      </c>
      <c r="H98" s="402">
        <v>3560</v>
      </c>
      <c r="I98" s="796"/>
      <c r="J98" s="796"/>
      <c r="K98" s="402">
        <v>3560</v>
      </c>
      <c r="L98" s="402">
        <v>0</v>
      </c>
      <c r="M98" s="402">
        <f>K98+L98</f>
        <v>3560</v>
      </c>
    </row>
    <row r="99" spans="1:14" ht="15.75" customHeight="1" x14ac:dyDescent="0.2">
      <c r="A99" s="414"/>
      <c r="B99" s="398"/>
      <c r="C99" s="415" t="s">
        <v>550</v>
      </c>
      <c r="D99" s="414" t="s">
        <v>552</v>
      </c>
      <c r="E99" s="419">
        <v>6334</v>
      </c>
      <c r="F99" s="419">
        <v>0</v>
      </c>
      <c r="G99" s="419">
        <v>0</v>
      </c>
      <c r="H99" s="419">
        <v>6334</v>
      </c>
      <c r="I99" s="419">
        <v>115</v>
      </c>
      <c r="J99" s="419">
        <v>0</v>
      </c>
      <c r="K99" s="424">
        <v>6449</v>
      </c>
      <c r="L99" s="402">
        <v>0</v>
      </c>
      <c r="M99" s="402">
        <f>K99+L99</f>
        <v>6449</v>
      </c>
    </row>
    <row r="100" spans="1:14" s="418" customFormat="1" x14ac:dyDescent="0.2">
      <c r="A100" s="409">
        <v>70</v>
      </c>
      <c r="B100" s="416" t="s">
        <v>141</v>
      </c>
      <c r="C100" s="411" t="s">
        <v>561</v>
      </c>
      <c r="D100" s="412" t="s">
        <v>552</v>
      </c>
      <c r="E100" s="413">
        <v>11330</v>
      </c>
      <c r="F100" s="413">
        <v>1</v>
      </c>
      <c r="G100" s="413">
        <v>290</v>
      </c>
      <c r="H100" s="413">
        <v>11039</v>
      </c>
      <c r="I100" s="413">
        <v>134</v>
      </c>
      <c r="J100" s="413">
        <v>0</v>
      </c>
      <c r="K100" s="413">
        <v>11464</v>
      </c>
      <c r="L100" s="402">
        <v>220</v>
      </c>
      <c r="M100" s="413">
        <f t="shared" ref="M100" si="4">M101+M102</f>
        <v>11684</v>
      </c>
    </row>
    <row r="101" spans="1:14" x14ac:dyDescent="0.2">
      <c r="A101" s="414"/>
      <c r="B101" s="398"/>
      <c r="C101" s="415" t="s">
        <v>550</v>
      </c>
      <c r="D101" s="401" t="s">
        <v>545</v>
      </c>
      <c r="E101" s="402">
        <v>10037</v>
      </c>
      <c r="F101" s="402">
        <v>1</v>
      </c>
      <c r="G101" s="402">
        <v>290</v>
      </c>
      <c r="H101" s="402">
        <v>9746</v>
      </c>
      <c r="I101" s="796"/>
      <c r="J101" s="796"/>
      <c r="K101" s="402">
        <v>10037</v>
      </c>
      <c r="L101" s="402">
        <v>220</v>
      </c>
      <c r="M101" s="402">
        <f>K101+L101</f>
        <v>10257</v>
      </c>
    </row>
    <row r="102" spans="1:14" x14ac:dyDescent="0.2">
      <c r="A102" s="414"/>
      <c r="B102" s="398"/>
      <c r="C102" s="415" t="s">
        <v>550</v>
      </c>
      <c r="D102" s="414" t="s">
        <v>552</v>
      </c>
      <c r="E102" s="419">
        <v>1293</v>
      </c>
      <c r="F102" s="419">
        <v>0</v>
      </c>
      <c r="G102" s="419">
        <v>0</v>
      </c>
      <c r="H102" s="419">
        <v>1293</v>
      </c>
      <c r="I102" s="421">
        <v>134</v>
      </c>
      <c r="J102" s="421">
        <v>0</v>
      </c>
      <c r="K102" s="421">
        <v>1427</v>
      </c>
      <c r="L102" s="402">
        <v>0</v>
      </c>
      <c r="M102" s="402">
        <f>K102+L102</f>
        <v>1427</v>
      </c>
    </row>
    <row r="103" spans="1:14" s="418" customFormat="1" x14ac:dyDescent="0.2">
      <c r="A103" s="409">
        <v>71</v>
      </c>
      <c r="B103" s="410" t="s">
        <v>70</v>
      </c>
      <c r="C103" s="411" t="s">
        <v>562</v>
      </c>
      <c r="D103" s="412" t="s">
        <v>563</v>
      </c>
      <c r="E103" s="413">
        <v>26460</v>
      </c>
      <c r="F103" s="413">
        <v>24990</v>
      </c>
      <c r="G103" s="413">
        <v>0</v>
      </c>
      <c r="H103" s="413">
        <v>1470</v>
      </c>
      <c r="I103" s="413">
        <v>1773</v>
      </c>
      <c r="J103" s="413">
        <v>1773</v>
      </c>
      <c r="K103" s="413">
        <v>28233</v>
      </c>
      <c r="L103" s="402">
        <v>243</v>
      </c>
      <c r="M103" s="413">
        <f t="shared" ref="M103" si="5">M104+M105</f>
        <v>28476</v>
      </c>
      <c r="N103" s="417"/>
    </row>
    <row r="104" spans="1:14" x14ac:dyDescent="0.2">
      <c r="A104" s="414"/>
      <c r="B104" s="398"/>
      <c r="C104" s="415" t="s">
        <v>550</v>
      </c>
      <c r="D104" s="401" t="s">
        <v>543</v>
      </c>
      <c r="E104" s="402">
        <v>7696</v>
      </c>
      <c r="F104" s="402">
        <v>7015</v>
      </c>
      <c r="G104" s="402">
        <v>0</v>
      </c>
      <c r="H104" s="402">
        <v>681</v>
      </c>
      <c r="I104" s="796"/>
      <c r="J104" s="796"/>
      <c r="K104" s="402">
        <v>7696</v>
      </c>
      <c r="L104" s="402">
        <v>243</v>
      </c>
      <c r="M104" s="402">
        <f>K104+L104</f>
        <v>7939</v>
      </c>
    </row>
    <row r="105" spans="1:14" x14ac:dyDescent="0.2">
      <c r="A105" s="414"/>
      <c r="B105" s="398"/>
      <c r="C105" s="415" t="s">
        <v>550</v>
      </c>
      <c r="D105" s="414" t="s">
        <v>563</v>
      </c>
      <c r="E105" s="419">
        <v>18764</v>
      </c>
      <c r="F105" s="419">
        <v>17975</v>
      </c>
      <c r="G105" s="419">
        <v>0</v>
      </c>
      <c r="H105" s="419">
        <v>789</v>
      </c>
      <c r="I105" s="402">
        <v>1773</v>
      </c>
      <c r="J105" s="402">
        <v>1773</v>
      </c>
      <c r="K105" s="402">
        <v>20537</v>
      </c>
      <c r="L105" s="402">
        <v>0</v>
      </c>
      <c r="M105" s="402">
        <f>K105+L105</f>
        <v>20537</v>
      </c>
    </row>
    <row r="106" spans="1:14" s="418" customFormat="1" x14ac:dyDescent="0.2">
      <c r="A106" s="409">
        <v>72</v>
      </c>
      <c r="B106" s="410" t="s">
        <v>72</v>
      </c>
      <c r="C106" s="411" t="s">
        <v>564</v>
      </c>
      <c r="D106" s="412" t="s">
        <v>563</v>
      </c>
      <c r="E106" s="413">
        <v>7946</v>
      </c>
      <c r="F106" s="413">
        <v>0</v>
      </c>
      <c r="G106" s="413">
        <v>0</v>
      </c>
      <c r="H106" s="413">
        <v>7946</v>
      </c>
      <c r="I106" s="413">
        <v>3588</v>
      </c>
      <c r="J106" s="413">
        <v>0</v>
      </c>
      <c r="K106" s="413">
        <v>11534</v>
      </c>
      <c r="L106" s="402">
        <v>840</v>
      </c>
      <c r="M106" s="413">
        <f>M107+M108</f>
        <v>12374</v>
      </c>
    </row>
    <row r="107" spans="1:14" x14ac:dyDescent="0.2">
      <c r="A107" s="414"/>
      <c r="B107" s="398"/>
      <c r="C107" s="415" t="s">
        <v>550</v>
      </c>
      <c r="D107" s="401" t="s">
        <v>543</v>
      </c>
      <c r="E107" s="402">
        <v>160</v>
      </c>
      <c r="F107" s="402">
        <v>0</v>
      </c>
      <c r="G107" s="402">
        <v>0</v>
      </c>
      <c r="H107" s="402">
        <v>160</v>
      </c>
      <c r="I107" s="796"/>
      <c r="J107" s="796"/>
      <c r="K107" s="402">
        <v>160</v>
      </c>
      <c r="L107" s="402">
        <v>840</v>
      </c>
      <c r="M107" s="402">
        <f>K107+L107</f>
        <v>1000</v>
      </c>
    </row>
    <row r="108" spans="1:14" x14ac:dyDescent="0.2">
      <c r="A108" s="414"/>
      <c r="B108" s="398"/>
      <c r="C108" s="415" t="s">
        <v>550</v>
      </c>
      <c r="D108" s="420" t="s">
        <v>563</v>
      </c>
      <c r="E108" s="419">
        <v>7786</v>
      </c>
      <c r="F108" s="419">
        <v>0</v>
      </c>
      <c r="G108" s="419">
        <v>0</v>
      </c>
      <c r="H108" s="419">
        <v>7786</v>
      </c>
      <c r="I108" s="402">
        <v>3588</v>
      </c>
      <c r="J108" s="402">
        <v>0</v>
      </c>
      <c r="K108" s="402">
        <v>11374</v>
      </c>
      <c r="L108" s="402">
        <v>0</v>
      </c>
      <c r="M108" s="402">
        <f>K108+L108</f>
        <v>11374</v>
      </c>
    </row>
    <row r="109" spans="1:14" s="418" customFormat="1" x14ac:dyDescent="0.2">
      <c r="A109" s="409">
        <v>73</v>
      </c>
      <c r="B109" s="423" t="s">
        <v>297</v>
      </c>
      <c r="C109" s="411" t="s">
        <v>298</v>
      </c>
      <c r="D109" s="412" t="s">
        <v>565</v>
      </c>
      <c r="E109" s="413">
        <v>6702</v>
      </c>
      <c r="F109" s="413">
        <v>0</v>
      </c>
      <c r="G109" s="413">
        <v>0</v>
      </c>
      <c r="H109" s="413">
        <v>6702</v>
      </c>
      <c r="I109" s="413">
        <v>52</v>
      </c>
      <c r="J109" s="413">
        <v>0</v>
      </c>
      <c r="K109" s="413">
        <v>6754</v>
      </c>
      <c r="L109" s="402">
        <v>0</v>
      </c>
      <c r="M109" s="413">
        <f>M110+M111</f>
        <v>6754</v>
      </c>
    </row>
    <row r="110" spans="1:14" x14ac:dyDescent="0.2">
      <c r="A110" s="414"/>
      <c r="B110" s="398"/>
      <c r="C110" s="415" t="s">
        <v>550</v>
      </c>
      <c r="D110" s="401" t="s">
        <v>543</v>
      </c>
      <c r="E110" s="402">
        <v>3367</v>
      </c>
      <c r="F110" s="402">
        <v>0</v>
      </c>
      <c r="G110" s="402">
        <v>0</v>
      </c>
      <c r="H110" s="402">
        <v>3367</v>
      </c>
      <c r="I110" s="796"/>
      <c r="J110" s="796"/>
      <c r="K110" s="402">
        <v>3367</v>
      </c>
      <c r="L110" s="402">
        <v>0</v>
      </c>
      <c r="M110" s="402">
        <f>K110+L110</f>
        <v>3367</v>
      </c>
    </row>
    <row r="111" spans="1:14" x14ac:dyDescent="0.2">
      <c r="A111" s="414"/>
      <c r="B111" s="398"/>
      <c r="C111" s="415" t="s">
        <v>550</v>
      </c>
      <c r="D111" s="420" t="s">
        <v>563</v>
      </c>
      <c r="E111" s="419">
        <v>3335</v>
      </c>
      <c r="F111" s="419">
        <v>0</v>
      </c>
      <c r="G111" s="419">
        <v>0</v>
      </c>
      <c r="H111" s="419">
        <v>3335</v>
      </c>
      <c r="I111" s="402">
        <v>52</v>
      </c>
      <c r="J111" s="402">
        <v>0</v>
      </c>
      <c r="K111" s="402">
        <v>3387</v>
      </c>
      <c r="L111" s="402">
        <v>0</v>
      </c>
      <c r="M111" s="402">
        <f>K111+L111</f>
        <v>3387</v>
      </c>
    </row>
    <row r="112" spans="1:14" s="418" customFormat="1" x14ac:dyDescent="0.2">
      <c r="A112" s="409">
        <v>74</v>
      </c>
      <c r="B112" s="423" t="s">
        <v>299</v>
      </c>
      <c r="C112" s="411" t="s">
        <v>566</v>
      </c>
      <c r="D112" s="412" t="s">
        <v>563</v>
      </c>
      <c r="E112" s="413">
        <v>22700</v>
      </c>
      <c r="F112" s="413">
        <v>0</v>
      </c>
      <c r="G112" s="413">
        <v>0</v>
      </c>
      <c r="H112" s="413">
        <v>22700</v>
      </c>
      <c r="I112" s="413">
        <v>872</v>
      </c>
      <c r="J112" s="413">
        <v>0</v>
      </c>
      <c r="K112" s="413">
        <v>23572</v>
      </c>
      <c r="L112" s="402">
        <v>0</v>
      </c>
      <c r="M112" s="413">
        <f>M113+M114</f>
        <v>23572</v>
      </c>
    </row>
    <row r="113" spans="1:17" ht="12" customHeight="1" x14ac:dyDescent="0.2">
      <c r="A113" s="414"/>
      <c r="B113" s="398"/>
      <c r="C113" s="415" t="s">
        <v>550</v>
      </c>
      <c r="D113" s="401" t="s">
        <v>543</v>
      </c>
      <c r="E113" s="402">
        <v>9392</v>
      </c>
      <c r="F113" s="402">
        <v>0</v>
      </c>
      <c r="G113" s="402">
        <v>0</v>
      </c>
      <c r="H113" s="402">
        <v>9392</v>
      </c>
      <c r="I113" s="796"/>
      <c r="J113" s="796"/>
      <c r="K113" s="402">
        <v>9392</v>
      </c>
      <c r="L113" s="402">
        <v>0</v>
      </c>
      <c r="M113" s="402">
        <f>K113+L113</f>
        <v>9392</v>
      </c>
    </row>
    <row r="114" spans="1:17" ht="12" customHeight="1" x14ac:dyDescent="0.2">
      <c r="A114" s="414"/>
      <c r="B114" s="398"/>
      <c r="C114" s="415" t="s">
        <v>550</v>
      </c>
      <c r="D114" s="414" t="s">
        <v>563</v>
      </c>
      <c r="E114" s="419">
        <v>13308</v>
      </c>
      <c r="F114" s="419">
        <v>0</v>
      </c>
      <c r="G114" s="419">
        <v>0</v>
      </c>
      <c r="H114" s="419">
        <v>13308</v>
      </c>
      <c r="I114" s="421">
        <v>872</v>
      </c>
      <c r="J114" s="421">
        <v>0</v>
      </c>
      <c r="K114" s="402">
        <v>14180</v>
      </c>
      <c r="L114" s="402">
        <v>0</v>
      </c>
      <c r="M114" s="402">
        <f>K114+L114</f>
        <v>14180</v>
      </c>
    </row>
    <row r="115" spans="1:17" s="418" customFormat="1" x14ac:dyDescent="0.2">
      <c r="A115" s="409">
        <v>75</v>
      </c>
      <c r="B115" s="423" t="s">
        <v>60</v>
      </c>
      <c r="C115" s="411" t="s">
        <v>567</v>
      </c>
      <c r="D115" s="412" t="s">
        <v>563</v>
      </c>
      <c r="E115" s="413">
        <v>22173</v>
      </c>
      <c r="F115" s="413">
        <v>49</v>
      </c>
      <c r="G115" s="413">
        <v>0</v>
      </c>
      <c r="H115" s="413">
        <v>22124</v>
      </c>
      <c r="I115" s="413">
        <v>1160</v>
      </c>
      <c r="J115" s="413">
        <v>0</v>
      </c>
      <c r="K115" s="413">
        <v>23333</v>
      </c>
      <c r="L115" s="402">
        <v>1433</v>
      </c>
      <c r="M115" s="413">
        <f>M116+M117</f>
        <v>24766</v>
      </c>
    </row>
    <row r="116" spans="1:17" ht="12" customHeight="1" x14ac:dyDescent="0.2">
      <c r="A116" s="414"/>
      <c r="B116" s="398"/>
      <c r="C116" s="415" t="s">
        <v>550</v>
      </c>
      <c r="D116" s="401" t="s">
        <v>543</v>
      </c>
      <c r="E116" s="402">
        <v>12555</v>
      </c>
      <c r="F116" s="402">
        <v>49</v>
      </c>
      <c r="G116" s="402">
        <v>0</v>
      </c>
      <c r="H116" s="402">
        <v>12506</v>
      </c>
      <c r="I116" s="796"/>
      <c r="J116" s="796"/>
      <c r="K116" s="402">
        <v>12555</v>
      </c>
      <c r="L116" s="402">
        <v>1433</v>
      </c>
      <c r="M116" s="402">
        <f>K116+L116</f>
        <v>13988</v>
      </c>
    </row>
    <row r="117" spans="1:17" ht="12" customHeight="1" x14ac:dyDescent="0.2">
      <c r="A117" s="414"/>
      <c r="B117" s="398"/>
      <c r="C117" s="415" t="s">
        <v>550</v>
      </c>
      <c r="D117" s="420" t="s">
        <v>563</v>
      </c>
      <c r="E117" s="419">
        <v>9618</v>
      </c>
      <c r="F117" s="419">
        <v>0</v>
      </c>
      <c r="G117" s="419">
        <v>0</v>
      </c>
      <c r="H117" s="419">
        <v>9618</v>
      </c>
      <c r="I117" s="421">
        <v>1160</v>
      </c>
      <c r="J117" s="421">
        <v>0</v>
      </c>
      <c r="K117" s="402">
        <v>10778</v>
      </c>
      <c r="L117" s="402">
        <v>0</v>
      </c>
      <c r="M117" s="402">
        <f>K117+L117</f>
        <v>10778</v>
      </c>
    </row>
    <row r="118" spans="1:17" s="418" customFormat="1" x14ac:dyDescent="0.2">
      <c r="A118" s="409">
        <v>76</v>
      </c>
      <c r="B118" s="423" t="s">
        <v>36</v>
      </c>
      <c r="C118" s="411" t="s">
        <v>568</v>
      </c>
      <c r="D118" s="412" t="s">
        <v>563</v>
      </c>
      <c r="E118" s="413">
        <v>10834</v>
      </c>
      <c r="F118" s="413">
        <v>0</v>
      </c>
      <c r="G118" s="413">
        <v>0</v>
      </c>
      <c r="H118" s="413">
        <v>10834</v>
      </c>
      <c r="I118" s="413">
        <v>381</v>
      </c>
      <c r="J118" s="413">
        <v>0</v>
      </c>
      <c r="K118" s="413">
        <v>11215</v>
      </c>
      <c r="L118" s="402">
        <v>3296</v>
      </c>
      <c r="M118" s="413">
        <f>M119+M120</f>
        <v>14511</v>
      </c>
      <c r="Q118" s="417"/>
    </row>
    <row r="119" spans="1:17" ht="12" customHeight="1" x14ac:dyDescent="0.2">
      <c r="A119" s="414"/>
      <c r="B119" s="398"/>
      <c r="C119" s="415" t="s">
        <v>550</v>
      </c>
      <c r="D119" s="401" t="s">
        <v>543</v>
      </c>
      <c r="E119" s="402">
        <v>554</v>
      </c>
      <c r="F119" s="402">
        <v>0</v>
      </c>
      <c r="G119" s="402">
        <v>0</v>
      </c>
      <c r="H119" s="402">
        <v>554</v>
      </c>
      <c r="I119" s="796"/>
      <c r="J119" s="796"/>
      <c r="K119" s="402">
        <v>554</v>
      </c>
      <c r="L119" s="402">
        <v>3296</v>
      </c>
      <c r="M119" s="402">
        <f>K119+L119</f>
        <v>3850</v>
      </c>
    </row>
    <row r="120" spans="1:17" ht="12" customHeight="1" x14ac:dyDescent="0.2">
      <c r="A120" s="414"/>
      <c r="B120" s="398"/>
      <c r="C120" s="415" t="s">
        <v>550</v>
      </c>
      <c r="D120" s="414" t="s">
        <v>563</v>
      </c>
      <c r="E120" s="419">
        <v>10280</v>
      </c>
      <c r="F120" s="419">
        <v>0</v>
      </c>
      <c r="G120" s="419">
        <v>0</v>
      </c>
      <c r="H120" s="419">
        <v>10280</v>
      </c>
      <c r="I120" s="421">
        <v>381</v>
      </c>
      <c r="J120" s="421">
        <v>0</v>
      </c>
      <c r="K120" s="402">
        <v>10661</v>
      </c>
      <c r="L120" s="402">
        <v>0</v>
      </c>
      <c r="M120" s="402">
        <f>K120+L120</f>
        <v>10661</v>
      </c>
    </row>
    <row r="121" spans="1:17" s="418" customFormat="1" x14ac:dyDescent="0.2">
      <c r="A121" s="409">
        <v>77</v>
      </c>
      <c r="B121" s="423" t="s">
        <v>48</v>
      </c>
      <c r="C121" s="411" t="s">
        <v>569</v>
      </c>
      <c r="D121" s="412" t="s">
        <v>563</v>
      </c>
      <c r="E121" s="413">
        <v>10911</v>
      </c>
      <c r="F121" s="413">
        <v>2</v>
      </c>
      <c r="G121" s="413">
        <v>145</v>
      </c>
      <c r="H121" s="413">
        <v>10764</v>
      </c>
      <c r="I121" s="413">
        <v>1032</v>
      </c>
      <c r="J121" s="413">
        <v>0</v>
      </c>
      <c r="K121" s="413">
        <v>11943</v>
      </c>
      <c r="L121" s="402">
        <v>1407</v>
      </c>
      <c r="M121" s="413">
        <f>M122+M123</f>
        <v>13350</v>
      </c>
    </row>
    <row r="122" spans="1:17" ht="12" customHeight="1" x14ac:dyDescent="0.2">
      <c r="A122" s="414"/>
      <c r="B122" s="398"/>
      <c r="C122" s="415" t="s">
        <v>550</v>
      </c>
      <c r="D122" s="401" t="s">
        <v>543</v>
      </c>
      <c r="E122" s="402">
        <v>2615</v>
      </c>
      <c r="F122" s="402">
        <v>2</v>
      </c>
      <c r="G122" s="402">
        <v>145</v>
      </c>
      <c r="H122" s="402">
        <v>2468</v>
      </c>
      <c r="I122" s="402"/>
      <c r="J122" s="402"/>
      <c r="K122" s="402">
        <v>2615</v>
      </c>
      <c r="L122" s="402">
        <v>1407</v>
      </c>
      <c r="M122" s="402">
        <f>K122+L122</f>
        <v>4022</v>
      </c>
      <c r="O122" s="403"/>
    </row>
    <row r="123" spans="1:17" ht="12" customHeight="1" x14ac:dyDescent="0.2">
      <c r="A123" s="414"/>
      <c r="B123" s="398"/>
      <c r="C123" s="415" t="s">
        <v>550</v>
      </c>
      <c r="D123" s="401" t="s">
        <v>563</v>
      </c>
      <c r="E123" s="402">
        <v>8296</v>
      </c>
      <c r="F123" s="402">
        <v>0</v>
      </c>
      <c r="G123" s="402">
        <v>0</v>
      </c>
      <c r="H123" s="402">
        <v>8296</v>
      </c>
      <c r="I123" s="402">
        <v>1032</v>
      </c>
      <c r="J123" s="402">
        <v>0</v>
      </c>
      <c r="K123" s="402">
        <v>9328</v>
      </c>
      <c r="L123" s="402">
        <v>0</v>
      </c>
      <c r="M123" s="402">
        <f>K123+L123</f>
        <v>9328</v>
      </c>
    </row>
    <row r="124" spans="1:17" s="418" customFormat="1" x14ac:dyDescent="0.2">
      <c r="A124" s="409">
        <v>78</v>
      </c>
      <c r="B124" s="416" t="s">
        <v>56</v>
      </c>
      <c r="C124" s="411" t="s">
        <v>570</v>
      </c>
      <c r="D124" s="412" t="s">
        <v>563</v>
      </c>
      <c r="E124" s="413">
        <v>19773</v>
      </c>
      <c r="F124" s="413">
        <v>89</v>
      </c>
      <c r="G124" s="413">
        <v>0</v>
      </c>
      <c r="H124" s="413">
        <v>19684</v>
      </c>
      <c r="I124" s="413">
        <v>1135</v>
      </c>
      <c r="J124" s="413">
        <v>0</v>
      </c>
      <c r="K124" s="413">
        <v>20908</v>
      </c>
      <c r="L124" s="402">
        <v>900</v>
      </c>
      <c r="M124" s="413">
        <f t="shared" ref="M124" si="6">M125+M126</f>
        <v>21808</v>
      </c>
    </row>
    <row r="125" spans="1:17" ht="12" customHeight="1" x14ac:dyDescent="0.2">
      <c r="A125" s="414"/>
      <c r="B125" s="398"/>
      <c r="C125" s="415" t="s">
        <v>550</v>
      </c>
      <c r="D125" s="401" t="s">
        <v>543</v>
      </c>
      <c r="E125" s="402">
        <v>3857</v>
      </c>
      <c r="F125" s="402">
        <v>20</v>
      </c>
      <c r="G125" s="402">
        <v>0</v>
      </c>
      <c r="H125" s="402">
        <v>3837</v>
      </c>
      <c r="I125" s="402"/>
      <c r="J125" s="402"/>
      <c r="K125" s="402">
        <v>3857</v>
      </c>
      <c r="L125" s="402">
        <v>900</v>
      </c>
      <c r="M125" s="402">
        <f>K125+L125</f>
        <v>4757</v>
      </c>
    </row>
    <row r="126" spans="1:17" ht="12" customHeight="1" x14ac:dyDescent="0.2">
      <c r="A126" s="414"/>
      <c r="B126" s="398"/>
      <c r="C126" s="415" t="s">
        <v>550</v>
      </c>
      <c r="D126" s="402" t="s">
        <v>563</v>
      </c>
      <c r="E126" s="402">
        <v>15916</v>
      </c>
      <c r="F126" s="402">
        <v>69</v>
      </c>
      <c r="G126" s="402">
        <v>0</v>
      </c>
      <c r="H126" s="402">
        <v>15847</v>
      </c>
      <c r="I126" s="402">
        <v>1135</v>
      </c>
      <c r="J126" s="402">
        <v>0</v>
      </c>
      <c r="K126" s="402">
        <v>17051</v>
      </c>
      <c r="L126" s="402">
        <v>0</v>
      </c>
      <c r="M126" s="402">
        <f>K126+L126</f>
        <v>17051</v>
      </c>
    </row>
    <row r="127" spans="1:17" s="418" customFormat="1" x14ac:dyDescent="0.2">
      <c r="A127" s="409">
        <v>79</v>
      </c>
      <c r="B127" s="410" t="s">
        <v>294</v>
      </c>
      <c r="C127" s="411" t="s">
        <v>295</v>
      </c>
      <c r="D127" s="412" t="s">
        <v>571</v>
      </c>
      <c r="E127" s="413">
        <v>24729</v>
      </c>
      <c r="F127" s="413">
        <v>2400</v>
      </c>
      <c r="G127" s="413">
        <v>0</v>
      </c>
      <c r="H127" s="413">
        <v>22329</v>
      </c>
      <c r="I127" s="413">
        <v>3027</v>
      </c>
      <c r="J127" s="413">
        <v>250</v>
      </c>
      <c r="K127" s="413">
        <v>27756</v>
      </c>
      <c r="L127" s="402">
        <v>1195</v>
      </c>
      <c r="M127" s="413">
        <f t="shared" ref="M127" si="7">M128+M129</f>
        <v>28951</v>
      </c>
    </row>
    <row r="128" spans="1:17" x14ac:dyDescent="0.2">
      <c r="A128" s="414"/>
      <c r="B128" s="425"/>
      <c r="C128" s="415" t="s">
        <v>550</v>
      </c>
      <c r="D128" s="401" t="s">
        <v>543</v>
      </c>
      <c r="E128" s="402">
        <v>5405</v>
      </c>
      <c r="F128" s="402">
        <v>0</v>
      </c>
      <c r="G128" s="402">
        <v>0</v>
      </c>
      <c r="H128" s="402">
        <v>5405</v>
      </c>
      <c r="I128" s="796"/>
      <c r="J128" s="796"/>
      <c r="K128" s="402">
        <v>5405</v>
      </c>
      <c r="L128" s="402">
        <v>1195</v>
      </c>
      <c r="M128" s="402">
        <f>K128+L128</f>
        <v>6600</v>
      </c>
    </row>
    <row r="129" spans="1:17" ht="15" customHeight="1" x14ac:dyDescent="0.2">
      <c r="A129" s="414"/>
      <c r="B129" s="425"/>
      <c r="C129" s="415" t="s">
        <v>550</v>
      </c>
      <c r="D129" s="402" t="s">
        <v>571</v>
      </c>
      <c r="E129" s="402">
        <v>19324</v>
      </c>
      <c r="F129" s="402">
        <v>2400</v>
      </c>
      <c r="G129" s="402">
        <v>0</v>
      </c>
      <c r="H129" s="402">
        <v>16924</v>
      </c>
      <c r="I129" s="402">
        <v>3027</v>
      </c>
      <c r="J129" s="402">
        <v>250</v>
      </c>
      <c r="K129" s="402">
        <v>22351</v>
      </c>
      <c r="L129" s="402">
        <v>0</v>
      </c>
      <c r="M129" s="402">
        <f>K129+L129</f>
        <v>22351</v>
      </c>
    </row>
    <row r="130" spans="1:17" s="418" customFormat="1" ht="16.5" customHeight="1" x14ac:dyDescent="0.2">
      <c r="A130" s="409">
        <v>80</v>
      </c>
      <c r="B130" s="423" t="s">
        <v>34</v>
      </c>
      <c r="C130" s="411" t="s">
        <v>35</v>
      </c>
      <c r="D130" s="412" t="s">
        <v>571</v>
      </c>
      <c r="E130" s="413">
        <v>18922</v>
      </c>
      <c r="F130" s="413">
        <v>1325</v>
      </c>
      <c r="G130" s="413">
        <v>0</v>
      </c>
      <c r="H130" s="413">
        <v>17597</v>
      </c>
      <c r="I130" s="413">
        <v>1131</v>
      </c>
      <c r="J130" s="413">
        <v>107</v>
      </c>
      <c r="K130" s="413">
        <v>20053</v>
      </c>
      <c r="L130" s="402">
        <v>760</v>
      </c>
      <c r="M130" s="413">
        <f>M131+M132</f>
        <v>20813</v>
      </c>
    </row>
    <row r="131" spans="1:17" x14ac:dyDescent="0.2">
      <c r="A131" s="414"/>
      <c r="B131" s="398"/>
      <c r="C131" s="415" t="s">
        <v>550</v>
      </c>
      <c r="D131" s="401" t="s">
        <v>543</v>
      </c>
      <c r="E131" s="402">
        <v>1491</v>
      </c>
      <c r="F131" s="402">
        <v>0</v>
      </c>
      <c r="G131" s="402">
        <v>0</v>
      </c>
      <c r="H131" s="402">
        <v>1491</v>
      </c>
      <c r="I131" s="796"/>
      <c r="J131" s="796"/>
      <c r="K131" s="402">
        <v>1491</v>
      </c>
      <c r="L131" s="402">
        <v>760</v>
      </c>
      <c r="M131" s="402">
        <f>K131+L131</f>
        <v>2251</v>
      </c>
    </row>
    <row r="132" spans="1:17" x14ac:dyDescent="0.2">
      <c r="A132" s="414"/>
      <c r="B132" s="398"/>
      <c r="C132" s="415" t="s">
        <v>550</v>
      </c>
      <c r="D132" s="401" t="s">
        <v>571</v>
      </c>
      <c r="E132" s="419">
        <v>17431</v>
      </c>
      <c r="F132" s="419">
        <v>1325</v>
      </c>
      <c r="G132" s="419">
        <v>0</v>
      </c>
      <c r="H132" s="419">
        <v>16106</v>
      </c>
      <c r="I132" s="402">
        <v>1131</v>
      </c>
      <c r="J132" s="402">
        <v>107</v>
      </c>
      <c r="K132" s="402">
        <v>18562</v>
      </c>
      <c r="L132" s="402">
        <v>0</v>
      </c>
      <c r="M132" s="402">
        <f>K132+L132</f>
        <v>18562</v>
      </c>
    </row>
    <row r="133" spans="1:17" s="418" customFormat="1" x14ac:dyDescent="0.2">
      <c r="A133" s="409">
        <v>81</v>
      </c>
      <c r="B133" s="416" t="s">
        <v>276</v>
      </c>
      <c r="C133" s="411" t="s">
        <v>572</v>
      </c>
      <c r="D133" s="412" t="s">
        <v>571</v>
      </c>
      <c r="E133" s="413">
        <v>1088</v>
      </c>
      <c r="F133" s="413">
        <v>1000</v>
      </c>
      <c r="G133" s="413">
        <v>0</v>
      </c>
      <c r="H133" s="413">
        <v>88</v>
      </c>
      <c r="I133" s="413">
        <v>269</v>
      </c>
      <c r="J133" s="413">
        <v>0</v>
      </c>
      <c r="K133" s="413">
        <v>1357</v>
      </c>
      <c r="L133" s="402">
        <v>0</v>
      </c>
      <c r="M133" s="413">
        <f>K133+L133</f>
        <v>1357</v>
      </c>
    </row>
    <row r="134" spans="1:17" s="418" customFormat="1" x14ac:dyDescent="0.2">
      <c r="A134" s="409">
        <v>82</v>
      </c>
      <c r="B134" s="410" t="s">
        <v>68</v>
      </c>
      <c r="C134" s="411" t="s">
        <v>69</v>
      </c>
      <c r="D134" s="412" t="s">
        <v>571</v>
      </c>
      <c r="E134" s="413">
        <v>4477</v>
      </c>
      <c r="F134" s="413">
        <v>0</v>
      </c>
      <c r="G134" s="413">
        <v>0</v>
      </c>
      <c r="H134" s="413">
        <v>4477</v>
      </c>
      <c r="I134" s="413">
        <v>265</v>
      </c>
      <c r="J134" s="413">
        <v>0</v>
      </c>
      <c r="K134" s="413">
        <v>4742</v>
      </c>
      <c r="L134" s="402">
        <v>1864</v>
      </c>
      <c r="M134" s="413">
        <f>K134+L134</f>
        <v>6606</v>
      </c>
    </row>
    <row r="135" spans="1:17" s="418" customFormat="1" x14ac:dyDescent="0.2">
      <c r="A135" s="409">
        <v>83</v>
      </c>
      <c r="B135" s="426" t="s">
        <v>228</v>
      </c>
      <c r="C135" s="411" t="s">
        <v>573</v>
      </c>
      <c r="D135" s="412" t="s">
        <v>571</v>
      </c>
      <c r="E135" s="413">
        <v>7167</v>
      </c>
      <c r="F135" s="413">
        <v>0</v>
      </c>
      <c r="G135" s="413">
        <v>0</v>
      </c>
      <c r="H135" s="413">
        <v>7167</v>
      </c>
      <c r="I135" s="413">
        <v>90</v>
      </c>
      <c r="J135" s="413">
        <v>0</v>
      </c>
      <c r="K135" s="413">
        <v>7257</v>
      </c>
      <c r="L135" s="402">
        <v>0</v>
      </c>
      <c r="M135" s="413">
        <f>K135+L135</f>
        <v>7257</v>
      </c>
    </row>
    <row r="136" spans="1:17" s="418" customFormat="1" x14ac:dyDescent="0.2">
      <c r="A136" s="409"/>
      <c r="B136" s="426"/>
      <c r="C136" s="427" t="s">
        <v>108</v>
      </c>
      <c r="D136" s="412"/>
      <c r="E136" s="413">
        <f>SUM(E5:E60)+E61+E70+E73+E76+E79+E82+E85+E88+E91+E94+E97+E100+E103+E106+E109+E112+E115+E118+E121+E124+E127+E130+E133+E134+E135+E64+E67</f>
        <v>626060</v>
      </c>
      <c r="F136" s="413">
        <f t="shared" ref="F136:G136" si="8">SUM(F5:F60)+F61+F70+F73+F76+F79+F82+F85+F88+F91+F94+F97+F100+F103+F106+F109+F112+F115+F118+F121+F124+F127+F130+F133+F134+F135+F64+F67</f>
        <v>31925</v>
      </c>
      <c r="G136" s="413">
        <f t="shared" si="8"/>
        <v>5240</v>
      </c>
      <c r="H136" s="413">
        <f>SUM(H5:H60)+H61+H70+H73+H76+H79+H82+H85+H88+H91+H94+H97+H100+H103+H106+H109+H112+H115+H118+H121+H124+H127+H130+H133+H134+H135+H64+H67</f>
        <v>588895</v>
      </c>
      <c r="I136" s="413">
        <f t="shared" ref="I136:M136" si="9">SUM(I5:I60)+I61+I70+I73+I76+I79+I82+I85+I88+I91+I94+I97+I100+I103+I106+I109+I112+I115+I118+I121+I124+I127+I130+I133+I134+I135+I64+I67</f>
        <v>20310</v>
      </c>
      <c r="J136" s="413">
        <f t="shared" si="9"/>
        <v>2308</v>
      </c>
      <c r="K136" s="413">
        <f t="shared" si="9"/>
        <v>646370</v>
      </c>
      <c r="L136" s="413">
        <f t="shared" si="9"/>
        <v>21099</v>
      </c>
      <c r="M136" s="413">
        <f t="shared" si="9"/>
        <v>667469</v>
      </c>
      <c r="Q136" s="417"/>
    </row>
    <row r="137" spans="1:17" ht="25.5" x14ac:dyDescent="0.2">
      <c r="A137" s="398"/>
      <c r="B137" s="398"/>
      <c r="C137" s="400" t="s">
        <v>574</v>
      </c>
      <c r="D137" s="401"/>
      <c r="E137" s="413">
        <v>17716</v>
      </c>
      <c r="F137" s="413">
        <v>730</v>
      </c>
      <c r="G137" s="413"/>
      <c r="H137" s="413">
        <v>16986</v>
      </c>
      <c r="I137" s="413">
        <v>15</v>
      </c>
      <c r="J137" s="413">
        <v>0</v>
      </c>
      <c r="K137" s="413">
        <f>E137+I137</f>
        <v>17731</v>
      </c>
      <c r="L137" s="413">
        <v>3</v>
      </c>
      <c r="M137" s="413">
        <f>K137+L137</f>
        <v>17734</v>
      </c>
      <c r="Q137" s="403"/>
    </row>
    <row r="138" spans="1:17" ht="18.75" customHeight="1" x14ac:dyDescent="0.2">
      <c r="A138" s="428" t="s">
        <v>90</v>
      </c>
      <c r="B138" s="429"/>
      <c r="C138" s="429"/>
      <c r="D138" s="430"/>
      <c r="E138" s="413">
        <f>E136+E137</f>
        <v>643776</v>
      </c>
      <c r="F138" s="413">
        <f t="shared" ref="F138:M138" si="10">F136+F137</f>
        <v>32655</v>
      </c>
      <c r="G138" s="413">
        <f t="shared" si="10"/>
        <v>5240</v>
      </c>
      <c r="H138" s="413">
        <f t="shared" si="10"/>
        <v>605881</v>
      </c>
      <c r="I138" s="413">
        <f t="shared" si="10"/>
        <v>20325</v>
      </c>
      <c r="J138" s="413">
        <f t="shared" si="10"/>
        <v>2308</v>
      </c>
      <c r="K138" s="413">
        <f t="shared" si="10"/>
        <v>664101</v>
      </c>
      <c r="L138" s="413">
        <f t="shared" si="10"/>
        <v>21102</v>
      </c>
      <c r="M138" s="413">
        <f t="shared" si="10"/>
        <v>685203</v>
      </c>
    </row>
    <row r="139" spans="1:17" s="403" customFormat="1" ht="19.5" customHeight="1" x14ac:dyDescent="0.2">
      <c r="E139" s="396"/>
      <c r="F139" s="396"/>
      <c r="G139" s="396"/>
      <c r="H139" s="396"/>
      <c r="I139" s="396"/>
      <c r="J139" s="396"/>
      <c r="K139" s="396"/>
      <c r="L139" s="396"/>
      <c r="M139" s="396"/>
    </row>
    <row r="140" spans="1:17" x14ac:dyDescent="0.2">
      <c r="E140" s="396"/>
      <c r="F140" s="431"/>
      <c r="G140" s="396"/>
      <c r="H140" s="396"/>
      <c r="I140" s="396"/>
      <c r="J140" s="396"/>
      <c r="K140" s="396"/>
      <c r="L140" s="396"/>
    </row>
    <row r="141" spans="1:17" x14ac:dyDescent="0.2">
      <c r="E141" s="403"/>
      <c r="F141" s="403"/>
      <c r="G141" s="403"/>
      <c r="H141" s="403"/>
      <c r="I141" s="396"/>
      <c r="J141" s="396"/>
      <c r="K141" s="403"/>
      <c r="L141" s="403"/>
    </row>
    <row r="142" spans="1:17" x14ac:dyDescent="0.2">
      <c r="C142" s="432"/>
      <c r="E142" s="403"/>
      <c r="F142" s="403"/>
      <c r="G142" s="403"/>
      <c r="H142" s="403"/>
      <c r="I142" s="396"/>
      <c r="J142" s="396"/>
      <c r="K142" s="403"/>
      <c r="L142" s="403"/>
    </row>
    <row r="143" spans="1:17" x14ac:dyDescent="0.2">
      <c r="C143" s="432"/>
      <c r="E143" s="403"/>
      <c r="F143" s="403"/>
      <c r="G143" s="403"/>
      <c r="H143" s="403"/>
      <c r="I143" s="396"/>
      <c r="J143" s="396"/>
      <c r="K143" s="403"/>
      <c r="L143" s="403"/>
    </row>
    <row r="144" spans="1:17" x14ac:dyDescent="0.2">
      <c r="E144" s="403"/>
    </row>
    <row r="145" spans="3:11" x14ac:dyDescent="0.2">
      <c r="H145" s="403"/>
      <c r="I145" s="396"/>
      <c r="K145" s="403"/>
    </row>
    <row r="147" spans="3:11" x14ac:dyDescent="0.2">
      <c r="E147" s="403"/>
      <c r="F147" s="403"/>
    </row>
    <row r="148" spans="3:11" x14ac:dyDescent="0.2">
      <c r="F148" s="403"/>
    </row>
    <row r="149" spans="3:11" x14ac:dyDescent="0.2">
      <c r="C149" s="432"/>
      <c r="E149" s="403"/>
    </row>
    <row r="150" spans="3:11" x14ac:dyDescent="0.2">
      <c r="E150" s="403"/>
    </row>
    <row r="158" spans="3:11" x14ac:dyDescent="0.2">
      <c r="E158" s="403"/>
    </row>
  </sheetData>
  <mergeCells count="15">
    <mergeCell ref="A1:K1"/>
    <mergeCell ref="A2:A4"/>
    <mergeCell ref="B2:B4"/>
    <mergeCell ref="C2:C4"/>
    <mergeCell ref="D2:D4"/>
    <mergeCell ref="E2:E4"/>
    <mergeCell ref="F2:H2"/>
    <mergeCell ref="I2:I4"/>
    <mergeCell ref="K2:K4"/>
    <mergeCell ref="L2:L4"/>
    <mergeCell ref="M2:M4"/>
    <mergeCell ref="F3:F4"/>
    <mergeCell ref="G3:G4"/>
    <mergeCell ref="H3:H4"/>
    <mergeCell ref="J3:J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" right="0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156"/>
  <sheetViews>
    <sheetView workbookViewId="0">
      <pane xSplit="4" ySplit="10" topLeftCell="F128" activePane="bottomRight" state="frozen"/>
      <selection activeCell="I38" sqref="I38"/>
      <selection pane="topRight" activeCell="I38" sqref="I38"/>
      <selection pane="bottomLeft" activeCell="I38" sqref="I38"/>
      <selection pane="bottomRight" activeCell="M152" sqref="M152"/>
    </sheetView>
  </sheetViews>
  <sheetFormatPr defaultRowHeight="12" x14ac:dyDescent="0.2"/>
  <cols>
    <col min="1" max="1" width="6.140625" style="302" customWidth="1"/>
    <col min="2" max="2" width="9.140625" style="302"/>
    <col min="3" max="3" width="33.140625" style="302" customWidth="1"/>
    <col min="4" max="4" width="13.140625" style="302" customWidth="1"/>
    <col min="5" max="5" width="10.5703125" style="302" customWidth="1"/>
    <col min="6" max="6" width="12" style="302" customWidth="1"/>
    <col min="7" max="10" width="11.28515625" style="302" customWidth="1"/>
    <col min="11" max="11" width="12.42578125" style="302" customWidth="1"/>
    <col min="12" max="12" width="11.7109375" style="302" customWidth="1"/>
    <col min="13" max="14" width="10.5703125" style="302" customWidth="1"/>
    <col min="15" max="18" width="10.140625" style="302" customWidth="1"/>
    <col min="19" max="19" width="14.5703125" style="302" customWidth="1"/>
    <col min="20" max="16384" width="9.140625" style="302"/>
  </cols>
  <sheetData>
    <row r="1" spans="1:19" ht="15.75" x14ac:dyDescent="0.2">
      <c r="B1" s="1079" t="s">
        <v>442</v>
      </c>
      <c r="C1" s="1079"/>
      <c r="D1" s="1079"/>
      <c r="E1" s="1080"/>
      <c r="F1" s="1080"/>
      <c r="G1" s="1080"/>
      <c r="H1" s="1080"/>
      <c r="I1" s="1080"/>
      <c r="J1" s="1080"/>
      <c r="K1" s="1080"/>
      <c r="L1" s="1080"/>
      <c r="M1" s="1080"/>
      <c r="N1" s="1080"/>
      <c r="O1" s="1080"/>
      <c r="P1" s="1080"/>
      <c r="Q1" s="1080"/>
      <c r="R1" s="1080"/>
      <c r="S1" s="1080"/>
    </row>
    <row r="2" spans="1:19" ht="12" customHeight="1" x14ac:dyDescent="0.2">
      <c r="A2" s="1081" t="s">
        <v>0</v>
      </c>
      <c r="B2" s="1082" t="s">
        <v>356</v>
      </c>
      <c r="C2" s="1081" t="s">
        <v>2</v>
      </c>
      <c r="D2" s="1085" t="s">
        <v>443</v>
      </c>
      <c r="E2" s="1085"/>
      <c r="F2" s="1085"/>
      <c r="G2" s="1085"/>
      <c r="H2" s="1085"/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</row>
    <row r="3" spans="1:19" ht="12" customHeight="1" x14ac:dyDescent="0.2">
      <c r="A3" s="1081"/>
      <c r="B3" s="1083"/>
      <c r="C3" s="1081"/>
      <c r="D3" s="1086" t="s">
        <v>435</v>
      </c>
      <c r="E3" s="1085" t="s">
        <v>412</v>
      </c>
      <c r="F3" s="1085"/>
      <c r="G3" s="1085"/>
      <c r="H3" s="1085"/>
      <c r="I3" s="1085"/>
      <c r="J3" s="1085"/>
      <c r="K3" s="1085"/>
      <c r="L3" s="1085"/>
      <c r="M3" s="1085"/>
      <c r="N3" s="1085"/>
      <c r="O3" s="1085"/>
      <c r="P3" s="1085"/>
      <c r="Q3" s="1085"/>
      <c r="R3" s="1085"/>
      <c r="S3" s="1085"/>
    </row>
    <row r="4" spans="1:19" ht="28.5" customHeight="1" x14ac:dyDescent="0.2">
      <c r="A4" s="1081"/>
      <c r="B4" s="1083"/>
      <c r="C4" s="1081"/>
      <c r="D4" s="1086"/>
      <c r="E4" s="1088" t="s">
        <v>436</v>
      </c>
      <c r="F4" s="1088"/>
      <c r="G4" s="1088"/>
      <c r="H4" s="1071" t="s">
        <v>437</v>
      </c>
      <c r="I4" s="1089"/>
      <c r="J4" s="1089"/>
      <c r="K4" s="1089"/>
      <c r="L4" s="1072"/>
      <c r="M4" s="1088" t="s">
        <v>444</v>
      </c>
      <c r="N4" s="1088"/>
      <c r="O4" s="1071" t="s">
        <v>445</v>
      </c>
      <c r="P4" s="1089"/>
      <c r="Q4" s="1089"/>
      <c r="R4" s="1089"/>
      <c r="S4" s="1072"/>
    </row>
    <row r="5" spans="1:19" ht="47.25" customHeight="1" x14ac:dyDescent="0.2">
      <c r="A5" s="1081"/>
      <c r="B5" s="1083"/>
      <c r="C5" s="1081"/>
      <c r="D5" s="1086"/>
      <c r="E5" s="1090" t="s">
        <v>101</v>
      </c>
      <c r="F5" s="1071" t="s">
        <v>412</v>
      </c>
      <c r="G5" s="1072"/>
      <c r="H5" s="1090" t="s">
        <v>101</v>
      </c>
      <c r="I5" s="1081" t="s">
        <v>439</v>
      </c>
      <c r="J5" s="1081"/>
      <c r="K5" s="1088" t="s">
        <v>103</v>
      </c>
      <c r="L5" s="1088"/>
      <c r="M5" s="1081" t="s">
        <v>446</v>
      </c>
      <c r="N5" s="1088" t="s">
        <v>447</v>
      </c>
      <c r="O5" s="1088" t="s">
        <v>101</v>
      </c>
      <c r="P5" s="1094" t="s">
        <v>448</v>
      </c>
      <c r="Q5" s="1092" t="s">
        <v>449</v>
      </c>
      <c r="R5" s="1094" t="s">
        <v>353</v>
      </c>
      <c r="S5" s="1094" t="s">
        <v>450</v>
      </c>
    </row>
    <row r="6" spans="1:19" ht="36.75" customHeight="1" x14ac:dyDescent="0.2">
      <c r="A6" s="1081"/>
      <c r="B6" s="1084"/>
      <c r="C6" s="1081"/>
      <c r="D6" s="1087"/>
      <c r="E6" s="1091"/>
      <c r="F6" s="892" t="s">
        <v>354</v>
      </c>
      <c r="G6" s="893" t="s">
        <v>353</v>
      </c>
      <c r="H6" s="1091"/>
      <c r="I6" s="894" t="s">
        <v>449</v>
      </c>
      <c r="J6" s="891" t="s">
        <v>353</v>
      </c>
      <c r="K6" s="891" t="s">
        <v>354</v>
      </c>
      <c r="L6" s="893" t="s">
        <v>353</v>
      </c>
      <c r="M6" s="1081"/>
      <c r="N6" s="1088"/>
      <c r="O6" s="1088"/>
      <c r="P6" s="1087"/>
      <c r="Q6" s="1093"/>
      <c r="R6" s="1087"/>
      <c r="S6" s="1087"/>
    </row>
    <row r="7" spans="1:19" s="307" customFormat="1" ht="11.25" x14ac:dyDescent="0.2">
      <c r="A7" s="303">
        <v>1</v>
      </c>
      <c r="B7" s="303">
        <v>2</v>
      </c>
      <c r="C7" s="303">
        <v>3</v>
      </c>
      <c r="D7" s="304">
        <v>4</v>
      </c>
      <c r="E7" s="305">
        <v>5</v>
      </c>
      <c r="F7" s="305">
        <v>6</v>
      </c>
      <c r="G7" s="305">
        <v>7</v>
      </c>
      <c r="H7" s="305">
        <v>8</v>
      </c>
      <c r="I7" s="305">
        <v>9</v>
      </c>
      <c r="J7" s="305">
        <v>10</v>
      </c>
      <c r="K7" s="305">
        <v>11</v>
      </c>
      <c r="L7" s="305">
        <v>12</v>
      </c>
      <c r="M7" s="305">
        <v>13</v>
      </c>
      <c r="N7" s="305">
        <v>14</v>
      </c>
      <c r="O7" s="305">
        <v>15</v>
      </c>
      <c r="P7" s="305">
        <v>16</v>
      </c>
      <c r="Q7" s="305">
        <v>17</v>
      </c>
      <c r="R7" s="305">
        <v>18</v>
      </c>
      <c r="S7" s="305">
        <v>19</v>
      </c>
    </row>
    <row r="8" spans="1:19" s="307" customFormat="1" x14ac:dyDescent="0.2">
      <c r="A8" s="1001" t="s">
        <v>331</v>
      </c>
      <c r="B8" s="1001"/>
      <c r="C8" s="1001"/>
      <c r="D8" s="308">
        <f>E8+H8+M8+N8+O8</f>
        <v>4297989</v>
      </c>
      <c r="E8" s="308">
        <f t="shared" ref="E8:S8" si="0">E9+E10</f>
        <v>105447</v>
      </c>
      <c r="F8" s="308">
        <f t="shared" si="0"/>
        <v>4092</v>
      </c>
      <c r="G8" s="308">
        <f t="shared" si="0"/>
        <v>101355</v>
      </c>
      <c r="H8" s="308">
        <f>H9+H10</f>
        <v>3243369</v>
      </c>
      <c r="I8" s="308">
        <f t="shared" si="0"/>
        <v>21598</v>
      </c>
      <c r="J8" s="308">
        <f t="shared" si="0"/>
        <v>985841</v>
      </c>
      <c r="K8" s="308">
        <f>K9+K10</f>
        <v>234057</v>
      </c>
      <c r="L8" s="308">
        <f t="shared" si="0"/>
        <v>2001873</v>
      </c>
      <c r="M8" s="308">
        <f t="shared" si="0"/>
        <v>44073</v>
      </c>
      <c r="N8" s="308">
        <f t="shared" si="0"/>
        <v>18879</v>
      </c>
      <c r="O8" s="308">
        <f t="shared" si="0"/>
        <v>886221</v>
      </c>
      <c r="P8" s="308">
        <f t="shared" si="0"/>
        <v>11988</v>
      </c>
      <c r="Q8" s="308">
        <f t="shared" si="0"/>
        <v>4924</v>
      </c>
      <c r="R8" s="308">
        <f t="shared" si="0"/>
        <v>869309</v>
      </c>
      <c r="S8" s="308">
        <f t="shared" si="0"/>
        <v>300</v>
      </c>
    </row>
    <row r="9" spans="1:19" s="307" customFormat="1" ht="12" customHeight="1" x14ac:dyDescent="0.2">
      <c r="A9" s="1005" t="s">
        <v>105</v>
      </c>
      <c r="B9" s="1006"/>
      <c r="C9" s="1007"/>
      <c r="D9" s="305">
        <f>E9+J9+L9+M9+N9+O9</f>
        <v>143560</v>
      </c>
      <c r="E9" s="305">
        <f>F9+G9</f>
        <v>0</v>
      </c>
      <c r="F9" s="305">
        <f>'[19]Раз.пос.(Пр.2-24) '!F9+'[19]Перевод ДН дети'!F9+'[19]Перевод 2 этапа ДВН'!F9+'[19]Перевод 2 этапа УД'!F9</f>
        <v>0</v>
      </c>
      <c r="G9" s="305">
        <f>'[19]Раз.пос.(Пр.2-24) '!G9+'[19]Перевод ДН дети'!G9+'[19]Перевод 2 этапа ДВН'!G9+'[19]Перевод 2 этапа УД'!G9-2376</f>
        <v>0</v>
      </c>
      <c r="H9" s="305">
        <f>I9+J9</f>
        <v>143560</v>
      </c>
      <c r="I9" s="305">
        <f>'[19]Раз.пос.(Пр.2-24) '!I9+'[19]Перевод ДН дети'!I9+'[19]Перевод 2 этапа ДВН'!I9+'[19]Перевод 2 этапа УД'!I9</f>
        <v>0</v>
      </c>
      <c r="J9" s="305">
        <f>'[19]Раз.пос.(Пр.2-24) '!J9+'[19]Перевод ДН дети'!J9+'[19]Перевод 2 этапа ДВН'!J9+'[19]Перевод 2 этапа УД'!J9-440</f>
        <v>143560</v>
      </c>
      <c r="K9" s="305">
        <f>'[19]Раз.пос.(Пр.2-24) '!K9+'[19]Перевод ДН дети'!K9+'[19]Перевод 2 этапа ДВН'!K9+'[19]Перевод 2 этапа УД'!K9</f>
        <v>0</v>
      </c>
      <c r="L9" s="305">
        <f>'[19]Раз.пос.(Пр.2-24) '!L9+'[19]Перевод ДН дети'!L9+'[19]Перевод 2 этапа ДВН'!L9+'[19]Перевод 2 этапа УД'!L9</f>
        <v>0</v>
      </c>
      <c r="M9" s="305">
        <f>'[19]Раз.пос.(Пр.2-24) '!M9+'[19]Перевод ДН дети'!M9+'[19]Перевод 2 этапа ДВН'!M9+'[19]Перевод 2 этапа УД'!M9</f>
        <v>0</v>
      </c>
      <c r="N9" s="305">
        <f>'[19]Раз.пос.(Пр.2-24) '!N9+'[19]Перевод ДН дети'!N9+'[19]Перевод 2 этапа ДВН'!N9+'[19]Перевод 2 этапа УД'!N9</f>
        <v>0</v>
      </c>
      <c r="O9" s="305"/>
      <c r="P9" s="305">
        <f>'[19]Раз.пос.(Пр.2-24) '!P9+'[19]Перевод ДН дети'!P9+'[19]Перевод 2 этапа ДВН'!P9+'[19]Перевод 2 этапа УД'!P9</f>
        <v>0</v>
      </c>
      <c r="Q9" s="305">
        <f>'[19]Раз.пос.(Пр.2-24) '!Q9+'[19]Перевод ДН дети'!Q9+'[19]Перевод 2 этапа ДВН'!Q9+'[19]Перевод 2 этапа УД'!Q9</f>
        <v>0</v>
      </c>
      <c r="R9" s="305">
        <f>'[19]Раз.пос.(Пр.2-24) '!R9+'[19]Перевод ДН дети'!R9+'[19]Перевод 2 этапа ДВН'!R9+'[19]Перевод 2 этапа УД'!R9</f>
        <v>0</v>
      </c>
      <c r="S9" s="305">
        <f>'[19]Раз.пос.(Пр.2-24) '!S9+'[19]Перевод ДН дети'!S9+'[19]Перевод 2 этапа ДВН'!S9+'[19]Перевод 2 этапа УД'!S9</f>
        <v>0</v>
      </c>
    </row>
    <row r="10" spans="1:19" s="307" customFormat="1" ht="12" customHeight="1" x14ac:dyDescent="0.2">
      <c r="A10" s="1005" t="s">
        <v>108</v>
      </c>
      <c r="B10" s="1006"/>
      <c r="C10" s="1007"/>
      <c r="D10" s="308">
        <f t="shared" ref="D10:S10" si="1">SUM(D11:D143)-D89</f>
        <v>4154429</v>
      </c>
      <c r="E10" s="308">
        <f t="shared" si="1"/>
        <v>105447</v>
      </c>
      <c r="F10" s="308">
        <f t="shared" si="1"/>
        <v>4092</v>
      </c>
      <c r="G10" s="308">
        <f t="shared" si="1"/>
        <v>101355</v>
      </c>
      <c r="H10" s="308">
        <f t="shared" si="1"/>
        <v>3099809</v>
      </c>
      <c r="I10" s="308">
        <f t="shared" si="1"/>
        <v>21598</v>
      </c>
      <c r="J10" s="308">
        <f t="shared" si="1"/>
        <v>842281</v>
      </c>
      <c r="K10" s="308">
        <f t="shared" si="1"/>
        <v>234057</v>
      </c>
      <c r="L10" s="308">
        <f t="shared" si="1"/>
        <v>2001873</v>
      </c>
      <c r="M10" s="308">
        <f t="shared" si="1"/>
        <v>44073</v>
      </c>
      <c r="N10" s="308">
        <f t="shared" si="1"/>
        <v>18879</v>
      </c>
      <c r="O10" s="308">
        <f t="shared" si="1"/>
        <v>886221</v>
      </c>
      <c r="P10" s="308">
        <f t="shared" si="1"/>
        <v>11988</v>
      </c>
      <c r="Q10" s="308">
        <f t="shared" si="1"/>
        <v>4924</v>
      </c>
      <c r="R10" s="308">
        <f t="shared" si="1"/>
        <v>869309</v>
      </c>
      <c r="S10" s="308">
        <f t="shared" si="1"/>
        <v>300</v>
      </c>
    </row>
    <row r="11" spans="1:19" x14ac:dyDescent="0.2">
      <c r="A11" s="309">
        <v>1</v>
      </c>
      <c r="B11" s="222" t="s">
        <v>109</v>
      </c>
      <c r="C11" s="220" t="s">
        <v>110</v>
      </c>
      <c r="D11" s="305">
        <f>E11+H11+M11+N11+O11</f>
        <v>14620</v>
      </c>
      <c r="E11" s="310">
        <f>F11+G11</f>
        <v>0</v>
      </c>
      <c r="F11" s="310">
        <v>0</v>
      </c>
      <c r="G11" s="310">
        <v>0</v>
      </c>
      <c r="H11" s="310">
        <f>SUM(I11:L11)</f>
        <v>14620</v>
      </c>
      <c r="I11" s="336">
        <f>'[19]Раз.пос.(Пр.2-24) '!I11+'[19]Перевод ДН дети'!I11+'[19]Перевод 2 этапа ДВН'!I11+'[19]Перевод 2 этапа УД'!I11</f>
        <v>0</v>
      </c>
      <c r="J11" s="310">
        <v>3948</v>
      </c>
      <c r="K11" s="310">
        <v>1450</v>
      </c>
      <c r="L11" s="310">
        <v>9222</v>
      </c>
      <c r="M11" s="310">
        <f>'[19]Раз.пос.(Пр.2-24) '!M11+'[19]Перевод ДН дети'!M11+'[19]Перевод 2 этапа ДВН'!M11+'[19]Перевод 2 этапа УД'!M11</f>
        <v>0</v>
      </c>
      <c r="N11" s="310">
        <f>'[19]Раз.пос.(Пр.2-24) '!N11+'[19]Перевод ДН дети'!N11+'[19]Перевод 2 этапа ДВН'!N11+'[19]Перевод 2 этапа УД'!N11</f>
        <v>0</v>
      </c>
      <c r="O11" s="305">
        <f>P11+Q11+R11</f>
        <v>0</v>
      </c>
      <c r="P11" s="310">
        <v>0</v>
      </c>
      <c r="Q11" s="310">
        <f>'[19]Раз.пос.(Пр.2-24) '!Q11+'[19]Перевод ДН дети'!Q11+'[19]Перевод 2 этапа ДВН'!Q11+'[19]Перевод 2 этапа УД'!Q11</f>
        <v>0</v>
      </c>
      <c r="R11" s="310">
        <v>0</v>
      </c>
      <c r="S11" s="310">
        <f>'[19]Раз.пос.(Пр.2-24) '!S11+'[19]Перевод ДН дети'!S11+'[19]Перевод 2 этапа ДВН'!S11+'[19]Перевод 2 этапа УД'!S11</f>
        <v>0</v>
      </c>
    </row>
    <row r="12" spans="1:19" x14ac:dyDescent="0.2">
      <c r="A12" s="309">
        <v>2</v>
      </c>
      <c r="B12" s="224" t="s">
        <v>111</v>
      </c>
      <c r="C12" s="220" t="s">
        <v>112</v>
      </c>
      <c r="D12" s="305">
        <f>E12+H12+M12+N12+O12</f>
        <v>17138</v>
      </c>
      <c r="E12" s="310">
        <f t="shared" ref="E12:E75" si="2">F12+G12</f>
        <v>0</v>
      </c>
      <c r="F12" s="310">
        <v>0</v>
      </c>
      <c r="G12" s="310">
        <v>0</v>
      </c>
      <c r="H12" s="310">
        <f t="shared" ref="H12:H75" si="3">SUM(I12:L12)</f>
        <v>15674</v>
      </c>
      <c r="I12" s="336">
        <f>'[19]Раз.пос.(Пр.2-24) '!I12+'[19]Перевод ДН дети'!I12+'[19]Перевод 2 этапа ДВН'!I12+'[19]Перевод 2 этапа УД'!I12</f>
        <v>0</v>
      </c>
      <c r="J12" s="310">
        <v>2935</v>
      </c>
      <c r="K12" s="310">
        <v>800</v>
      </c>
      <c r="L12" s="310">
        <v>11939</v>
      </c>
      <c r="M12" s="310">
        <f>'[19]Раз.пос.(Пр.2-24) '!M12+'[19]Перевод ДН дети'!M12+'[19]Перевод 2 этапа ДВН'!M12+'[19]Перевод 2 этапа УД'!M12</f>
        <v>1025</v>
      </c>
      <c r="N12" s="310">
        <f>'[19]Раз.пос.(Пр.2-24) '!N12+'[19]Перевод ДН дети'!N12+'[19]Перевод 2 этапа ДВН'!N12+'[19]Перевод 2 этапа УД'!N12</f>
        <v>439</v>
      </c>
      <c r="O12" s="305">
        <f t="shared" ref="O12:O75" si="4">P12+Q12+R12</f>
        <v>0</v>
      </c>
      <c r="P12" s="310">
        <v>0</v>
      </c>
      <c r="Q12" s="310">
        <f>'[19]Раз.пос.(Пр.2-24) '!Q12+'[19]Перевод ДН дети'!Q12+'[19]Перевод 2 этапа ДВН'!Q12+'[19]Перевод 2 этапа УД'!Q12</f>
        <v>0</v>
      </c>
      <c r="R12" s="310">
        <v>0</v>
      </c>
      <c r="S12" s="310">
        <f>'[19]Раз.пос.(Пр.2-24) '!S12+'[19]Перевод ДН дети'!S12+'[19]Перевод 2 этапа ДВН'!S12+'[19]Перевод 2 этапа УД'!S12</f>
        <v>0</v>
      </c>
    </row>
    <row r="13" spans="1:19" x14ac:dyDescent="0.2">
      <c r="A13" s="309">
        <v>3</v>
      </c>
      <c r="B13" s="219" t="s">
        <v>80</v>
      </c>
      <c r="C13" s="220" t="s">
        <v>81</v>
      </c>
      <c r="D13" s="305">
        <f t="shared" ref="D13:D76" si="5">E13+H13+M13+N13+O13</f>
        <v>38824</v>
      </c>
      <c r="E13" s="310">
        <f t="shared" si="2"/>
        <v>0</v>
      </c>
      <c r="F13" s="310">
        <v>0</v>
      </c>
      <c r="G13" s="310">
        <v>0</v>
      </c>
      <c r="H13" s="310">
        <f t="shared" si="3"/>
        <v>37215</v>
      </c>
      <c r="I13" s="336">
        <f>'[19]Раз.пос.(Пр.2-24) '!I13+'[19]Перевод ДН дети'!I13+'[19]Перевод 2 этапа ДВН'!I13+'[19]Перевод 2 этапа УД'!I13</f>
        <v>0</v>
      </c>
      <c r="J13" s="310">
        <v>7106</v>
      </c>
      <c r="K13" s="310">
        <v>1839</v>
      </c>
      <c r="L13" s="310">
        <v>28270</v>
      </c>
      <c r="M13" s="310">
        <f>'[19]Раз.пос.(Пр.2-24) '!M13+'[19]Перевод ДН дети'!M13+'[19]Перевод 2 этапа ДВН'!M13+'[19]Перевод 2 этапа УД'!M13</f>
        <v>1025</v>
      </c>
      <c r="N13" s="310">
        <f>'[19]Раз.пос.(Пр.2-24) '!N13+'[19]Перевод ДН дети'!N13+'[19]Перевод 2 этапа ДВН'!N13+'[19]Перевод 2 этапа УД'!N13</f>
        <v>439</v>
      </c>
      <c r="O13" s="305">
        <f t="shared" si="4"/>
        <v>145</v>
      </c>
      <c r="P13" s="310">
        <v>0</v>
      </c>
      <c r="Q13" s="310">
        <f>'[19]Раз.пос.(Пр.2-24) '!Q13+'[19]Перевод ДН дети'!Q13+'[19]Перевод 2 этапа ДВН'!Q13+'[19]Перевод 2 этапа УД'!Q13</f>
        <v>0</v>
      </c>
      <c r="R13" s="310">
        <v>145</v>
      </c>
      <c r="S13" s="310">
        <f>'[19]Раз.пос.(Пр.2-24) '!S13+'[19]Перевод ДН дети'!S13+'[19]Перевод 2 этапа ДВН'!S13+'[19]Перевод 2 этапа УД'!S13</f>
        <v>0</v>
      </c>
    </row>
    <row r="14" spans="1:19" x14ac:dyDescent="0.2">
      <c r="A14" s="309">
        <v>4</v>
      </c>
      <c r="B14" s="222" t="s">
        <v>113</v>
      </c>
      <c r="C14" s="220" t="s">
        <v>114</v>
      </c>
      <c r="D14" s="305">
        <f t="shared" si="5"/>
        <v>14024</v>
      </c>
      <c r="E14" s="310">
        <f t="shared" si="2"/>
        <v>0</v>
      </c>
      <c r="F14" s="310">
        <v>0</v>
      </c>
      <c r="G14" s="310">
        <v>0</v>
      </c>
      <c r="H14" s="310">
        <f t="shared" si="3"/>
        <v>14024</v>
      </c>
      <c r="I14" s="336">
        <f>'[19]Раз.пос.(Пр.2-24) '!I14+'[19]Перевод ДН дети'!I14+'[19]Перевод 2 этапа ДВН'!I14+'[19]Перевод 2 этапа УД'!I14</f>
        <v>0</v>
      </c>
      <c r="J14" s="310">
        <v>4219</v>
      </c>
      <c r="K14" s="310">
        <v>751</v>
      </c>
      <c r="L14" s="310">
        <v>9054</v>
      </c>
      <c r="M14" s="310">
        <f>'[19]Раз.пос.(Пр.2-24) '!M14+'[19]Перевод ДН дети'!M14+'[19]Перевод 2 этапа ДВН'!M14+'[19]Перевод 2 этапа УД'!M14</f>
        <v>0</v>
      </c>
      <c r="N14" s="310">
        <f>'[19]Раз.пос.(Пр.2-24) '!N14+'[19]Перевод ДН дети'!N14+'[19]Перевод 2 этапа ДВН'!N14+'[19]Перевод 2 этапа УД'!N14</f>
        <v>0</v>
      </c>
      <c r="O14" s="305">
        <f t="shared" si="4"/>
        <v>0</v>
      </c>
      <c r="P14" s="310">
        <v>0</v>
      </c>
      <c r="Q14" s="310">
        <f>'[19]Раз.пос.(Пр.2-24) '!Q14+'[19]Перевод ДН дети'!Q14+'[19]Перевод 2 этапа ДВН'!Q14+'[19]Перевод 2 этапа УД'!Q14</f>
        <v>0</v>
      </c>
      <c r="R14" s="310">
        <v>0</v>
      </c>
      <c r="S14" s="310">
        <f>'[19]Раз.пос.(Пр.2-24) '!S14+'[19]Перевод ДН дети'!S14+'[19]Перевод 2 этапа ДВН'!S14+'[19]Перевод 2 этапа УД'!S14</f>
        <v>0</v>
      </c>
    </row>
    <row r="15" spans="1:19" x14ac:dyDescent="0.2">
      <c r="A15" s="309">
        <v>5</v>
      </c>
      <c r="B15" s="222" t="s">
        <v>115</v>
      </c>
      <c r="C15" s="220" t="s">
        <v>116</v>
      </c>
      <c r="D15" s="305">
        <f t="shared" si="5"/>
        <v>13001</v>
      </c>
      <c r="E15" s="310">
        <f t="shared" si="2"/>
        <v>0</v>
      </c>
      <c r="F15" s="310">
        <v>0</v>
      </c>
      <c r="G15" s="310">
        <v>0</v>
      </c>
      <c r="H15" s="310">
        <f t="shared" si="3"/>
        <v>13001</v>
      </c>
      <c r="I15" s="336">
        <f>'[19]Раз.пос.(Пр.2-24) '!I15+'[19]Перевод ДН дети'!I15+'[19]Перевод 2 этапа ДВН'!I15+'[19]Перевод 2 этапа УД'!I15</f>
        <v>0</v>
      </c>
      <c r="J15" s="310">
        <v>4283</v>
      </c>
      <c r="K15" s="310">
        <v>3300</v>
      </c>
      <c r="L15" s="310">
        <v>5418</v>
      </c>
      <c r="M15" s="310">
        <f>'[19]Раз.пос.(Пр.2-24) '!M15+'[19]Перевод ДН дети'!M15+'[19]Перевод 2 этапа ДВН'!M15+'[19]Перевод 2 этапа УД'!M15</f>
        <v>0</v>
      </c>
      <c r="N15" s="310">
        <f>'[19]Раз.пос.(Пр.2-24) '!N15+'[19]Перевод ДН дети'!N15+'[19]Перевод 2 этапа ДВН'!N15+'[19]Перевод 2 этапа УД'!N15</f>
        <v>0</v>
      </c>
      <c r="O15" s="305">
        <f t="shared" si="4"/>
        <v>0</v>
      </c>
      <c r="P15" s="310">
        <v>0</v>
      </c>
      <c r="Q15" s="310">
        <f>'[19]Раз.пос.(Пр.2-24) '!Q15+'[19]Перевод ДН дети'!Q15+'[19]Перевод 2 этапа ДВН'!Q15+'[19]Перевод 2 этапа УД'!Q15</f>
        <v>0</v>
      </c>
      <c r="R15" s="310">
        <v>0</v>
      </c>
      <c r="S15" s="310">
        <f>'[19]Раз.пос.(Пр.2-24) '!S15+'[19]Перевод ДН дети'!S15+'[19]Перевод 2 этапа ДВН'!S15+'[19]Перевод 2 этапа УД'!S15</f>
        <v>0</v>
      </c>
    </row>
    <row r="16" spans="1:19" x14ac:dyDescent="0.2">
      <c r="A16" s="309">
        <v>6</v>
      </c>
      <c r="B16" s="219" t="s">
        <v>117</v>
      </c>
      <c r="C16" s="220" t="s">
        <v>118</v>
      </c>
      <c r="D16" s="305">
        <f t="shared" si="5"/>
        <v>143023</v>
      </c>
      <c r="E16" s="310">
        <f t="shared" si="2"/>
        <v>0</v>
      </c>
      <c r="F16" s="310">
        <v>0</v>
      </c>
      <c r="G16" s="310">
        <v>0</v>
      </c>
      <c r="H16" s="310">
        <f t="shared" si="3"/>
        <v>141386</v>
      </c>
      <c r="I16" s="336">
        <f>'[19]Раз.пос.(Пр.2-24) '!I16+'[19]Перевод ДН дети'!I16+'[19]Перевод 2 этапа ДВН'!I16+'[19]Перевод 2 этапа УД'!I16</f>
        <v>218</v>
      </c>
      <c r="J16" s="310">
        <v>31564</v>
      </c>
      <c r="K16" s="310">
        <v>12082</v>
      </c>
      <c r="L16" s="310">
        <v>97522</v>
      </c>
      <c r="M16" s="310">
        <f>'[19]Раз.пос.(Пр.2-24) '!M16+'[19]Перевод ДН дети'!M16+'[19]Перевод 2 этапа ДВН'!M16+'[19]Перевод 2 этапа УД'!M16</f>
        <v>1025</v>
      </c>
      <c r="N16" s="310">
        <f>'[19]Раз.пос.(Пр.2-24) '!N16+'[19]Перевод ДН дети'!N16+'[19]Перевод 2 этапа ДВН'!N16+'[19]Перевод 2 этапа УД'!N16</f>
        <v>439</v>
      </c>
      <c r="O16" s="305">
        <f t="shared" si="4"/>
        <v>173</v>
      </c>
      <c r="P16" s="310">
        <v>0</v>
      </c>
      <c r="Q16" s="310">
        <f>'[19]Раз.пос.(Пр.2-24) '!Q16+'[19]Перевод ДН дети'!Q16+'[19]Перевод 2 этапа ДВН'!Q16+'[19]Перевод 2 этапа УД'!Q16</f>
        <v>0</v>
      </c>
      <c r="R16" s="310">
        <v>173</v>
      </c>
      <c r="S16" s="310">
        <f>'[19]Раз.пос.(Пр.2-24) '!S16+'[19]Перевод ДН дети'!S16+'[19]Перевод 2 этапа ДВН'!S16+'[19]Перевод 2 этапа УД'!S16</f>
        <v>0</v>
      </c>
    </row>
    <row r="17" spans="1:19" x14ac:dyDescent="0.2">
      <c r="A17" s="309">
        <v>7</v>
      </c>
      <c r="B17" s="222" t="s">
        <v>20</v>
      </c>
      <c r="C17" s="220" t="s">
        <v>21</v>
      </c>
      <c r="D17" s="305">
        <f t="shared" si="5"/>
        <v>40796</v>
      </c>
      <c r="E17" s="310">
        <f t="shared" si="2"/>
        <v>0</v>
      </c>
      <c r="F17" s="310">
        <v>0</v>
      </c>
      <c r="G17" s="310">
        <v>0</v>
      </c>
      <c r="H17" s="310">
        <f t="shared" si="3"/>
        <v>39059</v>
      </c>
      <c r="I17" s="336">
        <f>'[19]Раз.пос.(Пр.2-24) '!I17+'[19]Перевод ДН дети'!I17+'[19]Перевод 2 этапа ДВН'!I17+'[19]Перевод 2 этапа УД'!I17</f>
        <v>1373</v>
      </c>
      <c r="J17" s="310">
        <v>9540</v>
      </c>
      <c r="K17" s="310">
        <v>5523</v>
      </c>
      <c r="L17" s="310">
        <v>22623</v>
      </c>
      <c r="M17" s="310">
        <f>'[19]Раз.пос.(Пр.2-24) '!M17+'[19]Перевод ДН дети'!M17+'[19]Перевод 2 этапа ДВН'!M17+'[19]Перевод 2 этапа УД'!M17</f>
        <v>1025</v>
      </c>
      <c r="N17" s="310">
        <f>'[19]Раз.пос.(Пр.2-24) '!N17+'[19]Перевод ДН дети'!N17+'[19]Перевод 2 этапа ДВН'!N17+'[19]Перевод 2 этапа УД'!N17</f>
        <v>439</v>
      </c>
      <c r="O17" s="305">
        <f t="shared" si="4"/>
        <v>273</v>
      </c>
      <c r="P17" s="310">
        <v>0</v>
      </c>
      <c r="Q17" s="310">
        <f>'[19]Раз.пос.(Пр.2-24) '!Q17+'[19]Перевод ДН дети'!Q17+'[19]Перевод 2 этапа ДВН'!Q17+'[19]Перевод 2 этапа УД'!Q17</f>
        <v>0</v>
      </c>
      <c r="R17" s="310">
        <v>273</v>
      </c>
      <c r="S17" s="310">
        <f>'[19]Раз.пос.(Пр.2-24) '!S17+'[19]Перевод ДН дети'!S17+'[19]Перевод 2 этапа ДВН'!S17+'[19]Перевод 2 этапа УД'!S17</f>
        <v>0</v>
      </c>
    </row>
    <row r="18" spans="1:19" x14ac:dyDescent="0.2">
      <c r="A18" s="309">
        <v>8</v>
      </c>
      <c r="B18" s="219" t="s">
        <v>119</v>
      </c>
      <c r="C18" s="220" t="s">
        <v>120</v>
      </c>
      <c r="D18" s="305">
        <f t="shared" si="5"/>
        <v>18992</v>
      </c>
      <c r="E18" s="310">
        <f t="shared" si="2"/>
        <v>0</v>
      </c>
      <c r="F18" s="310">
        <v>0</v>
      </c>
      <c r="G18" s="310">
        <v>0</v>
      </c>
      <c r="H18" s="310">
        <f t="shared" si="3"/>
        <v>18992</v>
      </c>
      <c r="I18" s="336">
        <f>'[19]Раз.пос.(Пр.2-24) '!I18+'[19]Перевод ДН дети'!I18+'[19]Перевод 2 этапа ДВН'!I18+'[19]Перевод 2 этапа УД'!I18</f>
        <v>0</v>
      </c>
      <c r="J18" s="310">
        <v>4730</v>
      </c>
      <c r="K18" s="310">
        <v>1689</v>
      </c>
      <c r="L18" s="310">
        <v>12573</v>
      </c>
      <c r="M18" s="310">
        <f>'[19]Раз.пос.(Пр.2-24) '!M18+'[19]Перевод ДН дети'!M18+'[19]Перевод 2 этапа ДВН'!M18+'[19]Перевод 2 этапа УД'!M18</f>
        <v>0</v>
      </c>
      <c r="N18" s="310">
        <f>'[19]Раз.пос.(Пр.2-24) '!N18+'[19]Перевод ДН дети'!N18+'[19]Перевод 2 этапа ДВН'!N18+'[19]Перевод 2 этапа УД'!N18</f>
        <v>0</v>
      </c>
      <c r="O18" s="305">
        <f t="shared" si="4"/>
        <v>0</v>
      </c>
      <c r="P18" s="310">
        <v>0</v>
      </c>
      <c r="Q18" s="310">
        <f>'[19]Раз.пос.(Пр.2-24) '!Q18+'[19]Перевод ДН дети'!Q18+'[19]Перевод 2 этапа ДВН'!Q18+'[19]Перевод 2 этапа УД'!Q18</f>
        <v>0</v>
      </c>
      <c r="R18" s="310">
        <v>0</v>
      </c>
      <c r="S18" s="310">
        <f>'[19]Раз.пос.(Пр.2-24) '!S18+'[19]Перевод ДН дети'!S18+'[19]Перевод 2 этапа ДВН'!S18+'[19]Перевод 2 этапа УД'!S18</f>
        <v>0</v>
      </c>
    </row>
    <row r="19" spans="1:19" x14ac:dyDescent="0.2">
      <c r="A19" s="309">
        <v>9</v>
      </c>
      <c r="B19" s="219" t="s">
        <v>121</v>
      </c>
      <c r="C19" s="220" t="s">
        <v>122</v>
      </c>
      <c r="D19" s="305">
        <f t="shared" si="5"/>
        <v>17148</v>
      </c>
      <c r="E19" s="310">
        <f t="shared" si="2"/>
        <v>0</v>
      </c>
      <c r="F19" s="310">
        <v>0</v>
      </c>
      <c r="G19" s="310">
        <v>0</v>
      </c>
      <c r="H19" s="310">
        <f t="shared" si="3"/>
        <v>15684</v>
      </c>
      <c r="I19" s="336">
        <f>'[19]Раз.пос.(Пр.2-24) '!I19+'[19]Перевод ДН дети'!I19+'[19]Перевод 2 этапа ДВН'!I19+'[19]Перевод 2 этапа УД'!I19</f>
        <v>0</v>
      </c>
      <c r="J19" s="310">
        <v>3306</v>
      </c>
      <c r="K19" s="310">
        <v>3022</v>
      </c>
      <c r="L19" s="310">
        <v>9356</v>
      </c>
      <c r="M19" s="310">
        <f>'[19]Раз.пос.(Пр.2-24) '!M19+'[19]Перевод ДН дети'!M19+'[19]Перевод 2 этапа ДВН'!M19+'[19]Перевод 2 этапа УД'!M19</f>
        <v>1025</v>
      </c>
      <c r="N19" s="310">
        <f>'[19]Раз.пос.(Пр.2-24) '!N19+'[19]Перевод ДН дети'!N19+'[19]Перевод 2 этапа ДВН'!N19+'[19]Перевод 2 этапа УД'!N19</f>
        <v>439</v>
      </c>
      <c r="O19" s="305">
        <f t="shared" si="4"/>
        <v>0</v>
      </c>
      <c r="P19" s="310">
        <v>0</v>
      </c>
      <c r="Q19" s="310">
        <f>'[19]Раз.пос.(Пр.2-24) '!Q19+'[19]Перевод ДН дети'!Q19+'[19]Перевод 2 этапа ДВН'!Q19+'[19]Перевод 2 этапа УД'!Q19</f>
        <v>0</v>
      </c>
      <c r="R19" s="310">
        <v>0</v>
      </c>
      <c r="S19" s="310">
        <f>'[19]Раз.пос.(Пр.2-24) '!S19+'[19]Перевод ДН дети'!S19+'[19]Перевод 2 этапа ДВН'!S19+'[19]Перевод 2 этапа УД'!S19</f>
        <v>0</v>
      </c>
    </row>
    <row r="20" spans="1:19" x14ac:dyDescent="0.2">
      <c r="A20" s="309">
        <v>10</v>
      </c>
      <c r="B20" s="219" t="s">
        <v>123</v>
      </c>
      <c r="C20" s="220" t="s">
        <v>124</v>
      </c>
      <c r="D20" s="305">
        <f t="shared" si="5"/>
        <v>17686</v>
      </c>
      <c r="E20" s="310">
        <f t="shared" si="2"/>
        <v>0</v>
      </c>
      <c r="F20" s="310">
        <v>0</v>
      </c>
      <c r="G20" s="310">
        <v>0</v>
      </c>
      <c r="H20" s="310">
        <f t="shared" si="3"/>
        <v>17686</v>
      </c>
      <c r="I20" s="336">
        <f>'[19]Раз.пос.(Пр.2-24) '!I20+'[19]Перевод ДН дети'!I20+'[19]Перевод 2 этапа ДВН'!I20+'[19]Перевод 2 этапа УД'!I20</f>
        <v>0</v>
      </c>
      <c r="J20" s="310">
        <v>3732</v>
      </c>
      <c r="K20" s="310">
        <v>3935</v>
      </c>
      <c r="L20" s="310">
        <v>10019</v>
      </c>
      <c r="M20" s="310">
        <f>'[19]Раз.пос.(Пр.2-24) '!M20+'[19]Перевод ДН дети'!M20+'[19]Перевод 2 этапа ДВН'!M20+'[19]Перевод 2 этапа УД'!M20</f>
        <v>0</v>
      </c>
      <c r="N20" s="310">
        <f>'[19]Раз.пос.(Пр.2-24) '!N20+'[19]Перевод ДН дети'!N20+'[19]Перевод 2 этапа ДВН'!N20+'[19]Перевод 2 этапа УД'!N20</f>
        <v>0</v>
      </c>
      <c r="O20" s="305">
        <f t="shared" si="4"/>
        <v>0</v>
      </c>
      <c r="P20" s="310">
        <v>0</v>
      </c>
      <c r="Q20" s="310">
        <f>'[19]Раз.пос.(Пр.2-24) '!Q20+'[19]Перевод ДН дети'!Q20+'[19]Перевод 2 этапа ДВН'!Q20+'[19]Перевод 2 этапа УД'!Q20</f>
        <v>0</v>
      </c>
      <c r="R20" s="310">
        <v>0</v>
      </c>
      <c r="S20" s="310">
        <f>'[19]Раз.пос.(Пр.2-24) '!S20+'[19]Перевод ДН дети'!S20+'[19]Перевод 2 этапа ДВН'!S20+'[19]Перевод 2 этапа УД'!S20</f>
        <v>0</v>
      </c>
    </row>
    <row r="21" spans="1:19" x14ac:dyDescent="0.2">
      <c r="A21" s="309">
        <v>11</v>
      </c>
      <c r="B21" s="219" t="s">
        <v>125</v>
      </c>
      <c r="C21" s="220" t="s">
        <v>126</v>
      </c>
      <c r="D21" s="305">
        <f t="shared" si="5"/>
        <v>11985</v>
      </c>
      <c r="E21" s="310">
        <f t="shared" si="2"/>
        <v>0</v>
      </c>
      <c r="F21" s="310">
        <v>0</v>
      </c>
      <c r="G21" s="310">
        <v>0</v>
      </c>
      <c r="H21" s="310">
        <f t="shared" si="3"/>
        <v>11985</v>
      </c>
      <c r="I21" s="336">
        <f>'[19]Раз.пос.(Пр.2-24) '!I21+'[19]Перевод ДН дети'!I21+'[19]Перевод 2 этапа ДВН'!I21+'[19]Перевод 2 этапа УД'!I21</f>
        <v>0</v>
      </c>
      <c r="J21" s="310">
        <v>3817</v>
      </c>
      <c r="K21" s="310">
        <v>1992</v>
      </c>
      <c r="L21" s="310">
        <v>6176</v>
      </c>
      <c r="M21" s="310">
        <f>'[19]Раз.пос.(Пр.2-24) '!M21+'[19]Перевод ДН дети'!M21+'[19]Перевод 2 этапа ДВН'!M21+'[19]Перевод 2 этапа УД'!M21</f>
        <v>0</v>
      </c>
      <c r="N21" s="310">
        <f>'[19]Раз.пос.(Пр.2-24) '!N21+'[19]Перевод ДН дети'!N21+'[19]Перевод 2 этапа ДВН'!N21+'[19]Перевод 2 этапа УД'!N21</f>
        <v>0</v>
      </c>
      <c r="O21" s="305">
        <f t="shared" si="4"/>
        <v>0</v>
      </c>
      <c r="P21" s="310">
        <v>0</v>
      </c>
      <c r="Q21" s="310">
        <f>'[19]Раз.пос.(Пр.2-24) '!Q21+'[19]Перевод ДН дети'!Q21+'[19]Перевод 2 этапа ДВН'!Q21+'[19]Перевод 2 этапа УД'!Q21</f>
        <v>0</v>
      </c>
      <c r="R21" s="310">
        <v>0</v>
      </c>
      <c r="S21" s="310">
        <f>'[19]Раз.пос.(Пр.2-24) '!S21+'[19]Перевод ДН дети'!S21+'[19]Перевод 2 этапа ДВН'!S21+'[19]Перевод 2 этапа УД'!S21</f>
        <v>0</v>
      </c>
    </row>
    <row r="22" spans="1:19" x14ac:dyDescent="0.2">
      <c r="A22" s="309">
        <v>12</v>
      </c>
      <c r="B22" s="219" t="s">
        <v>127</v>
      </c>
      <c r="C22" s="220" t="s">
        <v>128</v>
      </c>
      <c r="D22" s="305">
        <f t="shared" si="5"/>
        <v>39900</v>
      </c>
      <c r="E22" s="310">
        <f t="shared" si="2"/>
        <v>0</v>
      </c>
      <c r="F22" s="310">
        <v>0</v>
      </c>
      <c r="G22" s="310">
        <v>0</v>
      </c>
      <c r="H22" s="310">
        <f t="shared" si="3"/>
        <v>38436</v>
      </c>
      <c r="I22" s="336">
        <f>'[19]Раз.пос.(Пр.2-24) '!I22+'[19]Перевод ДН дети'!I22+'[19]Перевод 2 этапа ДВН'!I22+'[19]Перевод 2 этапа УД'!I22</f>
        <v>0</v>
      </c>
      <c r="J22" s="310">
        <v>6922</v>
      </c>
      <c r="K22" s="310">
        <v>1000</v>
      </c>
      <c r="L22" s="310">
        <v>30514</v>
      </c>
      <c r="M22" s="310">
        <f>'[19]Раз.пос.(Пр.2-24) '!M22+'[19]Перевод ДН дети'!M22+'[19]Перевод 2 этапа ДВН'!M22+'[19]Перевод 2 этапа УД'!M22</f>
        <v>1025</v>
      </c>
      <c r="N22" s="310">
        <f>'[19]Раз.пос.(Пр.2-24) '!N22+'[19]Перевод ДН дети'!N22+'[19]Перевод 2 этапа ДВН'!N22+'[19]Перевод 2 этапа УД'!N22</f>
        <v>439</v>
      </c>
      <c r="O22" s="305">
        <f t="shared" si="4"/>
        <v>0</v>
      </c>
      <c r="P22" s="310">
        <v>0</v>
      </c>
      <c r="Q22" s="310">
        <f>'[19]Раз.пос.(Пр.2-24) '!Q22+'[19]Перевод ДН дети'!Q22+'[19]Перевод 2 этапа ДВН'!Q22+'[19]Перевод 2 этапа УД'!Q22</f>
        <v>0</v>
      </c>
      <c r="R22" s="310">
        <v>0</v>
      </c>
      <c r="S22" s="310">
        <f>'[19]Раз.пос.(Пр.2-24) '!S22+'[19]Перевод ДН дети'!S22+'[19]Перевод 2 этапа ДВН'!S22+'[19]Перевод 2 этапа УД'!S22</f>
        <v>0</v>
      </c>
    </row>
    <row r="23" spans="1:19" x14ac:dyDescent="0.2">
      <c r="A23" s="309">
        <v>13</v>
      </c>
      <c r="B23" s="219" t="s">
        <v>129</v>
      </c>
      <c r="C23" s="220" t="s">
        <v>130</v>
      </c>
      <c r="D23" s="305">
        <f t="shared" si="5"/>
        <v>0</v>
      </c>
      <c r="E23" s="310">
        <f t="shared" si="2"/>
        <v>0</v>
      </c>
      <c r="F23" s="310">
        <v>0</v>
      </c>
      <c r="G23" s="310">
        <v>0</v>
      </c>
      <c r="H23" s="310">
        <f t="shared" si="3"/>
        <v>0</v>
      </c>
      <c r="I23" s="336">
        <f>'[19]Раз.пос.(Пр.2-24) '!I23+'[19]Перевод ДН дети'!I23+'[19]Перевод 2 этапа ДВН'!I23+'[19]Перевод 2 этапа УД'!I23</f>
        <v>0</v>
      </c>
      <c r="J23" s="310">
        <v>0</v>
      </c>
      <c r="K23" s="310">
        <v>0</v>
      </c>
      <c r="L23" s="310">
        <v>0</v>
      </c>
      <c r="M23" s="310">
        <f>'[19]Раз.пос.(Пр.2-24) '!M23+'[19]Перевод ДН дети'!M23+'[19]Перевод 2 этапа ДВН'!M23+'[19]Перевод 2 этапа УД'!M23</f>
        <v>0</v>
      </c>
      <c r="N23" s="310">
        <f>'[19]Раз.пос.(Пр.2-24) '!N23+'[19]Перевод ДН дети'!N23+'[19]Перевод 2 этапа ДВН'!N23+'[19]Перевод 2 этапа УД'!N23</f>
        <v>0</v>
      </c>
      <c r="O23" s="305">
        <f t="shared" si="4"/>
        <v>0</v>
      </c>
      <c r="P23" s="310">
        <v>0</v>
      </c>
      <c r="Q23" s="310">
        <f>'[19]Раз.пос.(Пр.2-24) '!Q23+'[19]Перевод ДН дети'!Q23+'[19]Перевод 2 этапа ДВН'!Q23+'[19]Перевод 2 этапа УД'!Q23</f>
        <v>0</v>
      </c>
      <c r="R23" s="310">
        <v>0</v>
      </c>
      <c r="S23" s="310">
        <f>'[19]Раз.пос.(Пр.2-24) '!S23+'[19]Перевод ДН дети'!S23+'[19]Перевод 2 этапа ДВН'!S23+'[19]Перевод 2 этапа УД'!S23</f>
        <v>0</v>
      </c>
    </row>
    <row r="24" spans="1:19" x14ac:dyDescent="0.2">
      <c r="A24" s="309">
        <v>14</v>
      </c>
      <c r="B24" s="219" t="s">
        <v>131</v>
      </c>
      <c r="C24" s="220" t="s">
        <v>132</v>
      </c>
      <c r="D24" s="305">
        <f t="shared" si="5"/>
        <v>17768</v>
      </c>
      <c r="E24" s="310">
        <f t="shared" si="2"/>
        <v>0</v>
      </c>
      <c r="F24" s="310">
        <v>0</v>
      </c>
      <c r="G24" s="310">
        <v>0</v>
      </c>
      <c r="H24" s="310">
        <f t="shared" si="3"/>
        <v>17768</v>
      </c>
      <c r="I24" s="336">
        <f>'[19]Раз.пос.(Пр.2-24) '!I24+'[19]Перевод ДН дети'!I24+'[19]Перевод 2 этапа ДВН'!I24+'[19]Перевод 2 этапа УД'!I24</f>
        <v>0</v>
      </c>
      <c r="J24" s="310">
        <v>4573</v>
      </c>
      <c r="K24" s="310">
        <v>1027</v>
      </c>
      <c r="L24" s="310">
        <v>12168</v>
      </c>
      <c r="M24" s="310">
        <f>'[19]Раз.пос.(Пр.2-24) '!M24+'[19]Перевод ДН дети'!M24+'[19]Перевод 2 этапа ДВН'!M24+'[19]Перевод 2 этапа УД'!M24</f>
        <v>0</v>
      </c>
      <c r="N24" s="310">
        <f>'[19]Раз.пос.(Пр.2-24) '!N24+'[19]Перевод ДН дети'!N24+'[19]Перевод 2 этапа ДВН'!N24+'[19]Перевод 2 этапа УД'!N24</f>
        <v>0</v>
      </c>
      <c r="O24" s="305">
        <f t="shared" si="4"/>
        <v>0</v>
      </c>
      <c r="P24" s="310">
        <v>0</v>
      </c>
      <c r="Q24" s="310">
        <f>'[19]Раз.пос.(Пр.2-24) '!Q24+'[19]Перевод ДН дети'!Q24+'[19]Перевод 2 этапа ДВН'!Q24+'[19]Перевод 2 этапа УД'!Q24</f>
        <v>0</v>
      </c>
      <c r="R24" s="310">
        <v>0</v>
      </c>
      <c r="S24" s="310">
        <f>'[19]Раз.пос.(Пр.2-24) '!S24+'[19]Перевод ДН дети'!S24+'[19]Перевод 2 этапа ДВН'!S24+'[19]Перевод 2 этапа УД'!S24</f>
        <v>0</v>
      </c>
    </row>
    <row r="25" spans="1:19" x14ac:dyDescent="0.2">
      <c r="A25" s="309">
        <v>15</v>
      </c>
      <c r="B25" s="219" t="s">
        <v>133</v>
      </c>
      <c r="C25" s="220" t="s">
        <v>134</v>
      </c>
      <c r="D25" s="305">
        <f t="shared" si="5"/>
        <v>33826</v>
      </c>
      <c r="E25" s="310">
        <f t="shared" si="2"/>
        <v>0</v>
      </c>
      <c r="F25" s="310">
        <v>0</v>
      </c>
      <c r="G25" s="310">
        <v>0</v>
      </c>
      <c r="H25" s="310">
        <f t="shared" si="3"/>
        <v>32362</v>
      </c>
      <c r="I25" s="336">
        <f>'[19]Раз.пос.(Пр.2-24) '!I25+'[19]Перевод ДН дети'!I25+'[19]Перевод 2 этапа ДВН'!I25+'[19]Перевод 2 этапа УД'!I25</f>
        <v>0</v>
      </c>
      <c r="J25" s="310">
        <v>6198</v>
      </c>
      <c r="K25" s="310">
        <v>7069</v>
      </c>
      <c r="L25" s="310">
        <v>19095</v>
      </c>
      <c r="M25" s="310">
        <f>'[19]Раз.пос.(Пр.2-24) '!M25+'[19]Перевод ДН дети'!M25+'[19]Перевод 2 этапа ДВН'!M25+'[19]Перевод 2 этапа УД'!M25</f>
        <v>1025</v>
      </c>
      <c r="N25" s="310">
        <f>'[19]Раз.пос.(Пр.2-24) '!N25+'[19]Перевод ДН дети'!N25+'[19]Перевод 2 этапа ДВН'!N25+'[19]Перевод 2 этапа УД'!N25</f>
        <v>439</v>
      </c>
      <c r="O25" s="305">
        <f t="shared" si="4"/>
        <v>0</v>
      </c>
      <c r="P25" s="310">
        <v>0</v>
      </c>
      <c r="Q25" s="310">
        <f>'[19]Раз.пос.(Пр.2-24) '!Q25+'[19]Перевод ДН дети'!Q25+'[19]Перевод 2 этапа ДВН'!Q25+'[19]Перевод 2 этапа УД'!Q25</f>
        <v>0</v>
      </c>
      <c r="R25" s="310">
        <v>0</v>
      </c>
      <c r="S25" s="310">
        <f>'[19]Раз.пос.(Пр.2-24) '!S25+'[19]Перевод ДН дети'!S25+'[19]Перевод 2 этапа ДВН'!S25+'[19]Перевод 2 этапа УД'!S25</f>
        <v>0</v>
      </c>
    </row>
    <row r="26" spans="1:19" x14ac:dyDescent="0.2">
      <c r="A26" s="309">
        <v>16</v>
      </c>
      <c r="B26" s="219" t="s">
        <v>135</v>
      </c>
      <c r="C26" s="220" t="s">
        <v>136</v>
      </c>
      <c r="D26" s="305">
        <f t="shared" si="5"/>
        <v>44670</v>
      </c>
      <c r="E26" s="310">
        <f t="shared" si="2"/>
        <v>0</v>
      </c>
      <c r="F26" s="310">
        <v>0</v>
      </c>
      <c r="G26" s="310">
        <v>0</v>
      </c>
      <c r="H26" s="310">
        <f t="shared" si="3"/>
        <v>44670</v>
      </c>
      <c r="I26" s="336">
        <f>'[19]Раз.пос.(Пр.2-24) '!I26+'[19]Перевод ДН дети'!I26+'[19]Перевод 2 этапа ДВН'!I26+'[19]Перевод 2 этапа УД'!I26</f>
        <v>0</v>
      </c>
      <c r="J26" s="310">
        <v>8088</v>
      </c>
      <c r="K26" s="310">
        <v>4610</v>
      </c>
      <c r="L26" s="310">
        <v>31972</v>
      </c>
      <c r="M26" s="310">
        <f>'[19]Раз.пос.(Пр.2-24) '!M26+'[19]Перевод ДН дети'!M26+'[19]Перевод 2 этапа ДВН'!M26+'[19]Перевод 2 этапа УД'!M26</f>
        <v>0</v>
      </c>
      <c r="N26" s="310">
        <f>'[19]Раз.пос.(Пр.2-24) '!N26+'[19]Перевод ДН дети'!N26+'[19]Перевод 2 этапа ДВН'!N26+'[19]Перевод 2 этапа УД'!N26</f>
        <v>0</v>
      </c>
      <c r="O26" s="305">
        <f t="shared" si="4"/>
        <v>0</v>
      </c>
      <c r="P26" s="310">
        <v>0</v>
      </c>
      <c r="Q26" s="310">
        <f>'[19]Раз.пос.(Пр.2-24) '!Q26+'[19]Перевод ДН дети'!Q26+'[19]Перевод 2 этапа ДВН'!Q26+'[19]Перевод 2 этапа УД'!Q26</f>
        <v>0</v>
      </c>
      <c r="R26" s="310">
        <v>0</v>
      </c>
      <c r="S26" s="310">
        <f>'[19]Раз.пос.(Пр.2-24) '!S26+'[19]Перевод ДН дети'!S26+'[19]Перевод 2 этапа ДВН'!S26+'[19]Перевод 2 этапа УД'!S26</f>
        <v>0</v>
      </c>
    </row>
    <row r="27" spans="1:19" x14ac:dyDescent="0.2">
      <c r="A27" s="309">
        <v>17</v>
      </c>
      <c r="B27" s="219" t="s">
        <v>30</v>
      </c>
      <c r="C27" s="220" t="s">
        <v>31</v>
      </c>
      <c r="D27" s="305">
        <f t="shared" si="5"/>
        <v>59534</v>
      </c>
      <c r="E27" s="310">
        <f t="shared" si="2"/>
        <v>0</v>
      </c>
      <c r="F27" s="310">
        <v>0</v>
      </c>
      <c r="G27" s="310">
        <v>0</v>
      </c>
      <c r="H27" s="310">
        <f t="shared" si="3"/>
        <v>57807</v>
      </c>
      <c r="I27" s="336">
        <f>'[19]Раз.пос.(Пр.2-24) '!I27+'[19]Перевод ДН дети'!I27+'[19]Перевод 2 этапа ДВН'!I27+'[19]Перевод 2 этапа УД'!I27</f>
        <v>0</v>
      </c>
      <c r="J27" s="310">
        <v>23729</v>
      </c>
      <c r="K27" s="310">
        <v>550</v>
      </c>
      <c r="L27" s="310">
        <v>33528</v>
      </c>
      <c r="M27" s="310">
        <f>'[19]Раз.пос.(Пр.2-24) '!M27+'[19]Перевод ДН дети'!M27+'[19]Перевод 2 этапа ДВН'!M27+'[19]Перевод 2 этапа УД'!M27</f>
        <v>1025</v>
      </c>
      <c r="N27" s="310">
        <f>'[19]Раз.пос.(Пр.2-24) '!N27+'[19]Перевод ДН дети'!N27+'[19]Перевод 2 этапа ДВН'!N27+'[19]Перевод 2 этапа УД'!N27</f>
        <v>439</v>
      </c>
      <c r="O27" s="305">
        <f t="shared" si="4"/>
        <v>263</v>
      </c>
      <c r="P27" s="310">
        <v>0</v>
      </c>
      <c r="Q27" s="310">
        <f>'[19]Раз.пос.(Пр.2-24) '!Q27+'[19]Перевод ДН дети'!Q27+'[19]Перевод 2 этапа ДВН'!Q27+'[19]Перевод 2 этапа УД'!Q27</f>
        <v>0</v>
      </c>
      <c r="R27" s="310">
        <v>263</v>
      </c>
      <c r="S27" s="310">
        <f>'[19]Раз.пос.(Пр.2-24) '!S27+'[19]Перевод ДН дети'!S27+'[19]Перевод 2 этапа ДВН'!S27+'[19]Перевод 2 этапа УД'!S27</f>
        <v>0</v>
      </c>
    </row>
    <row r="28" spans="1:19" x14ac:dyDescent="0.2">
      <c r="A28" s="309">
        <v>18</v>
      </c>
      <c r="B28" s="222" t="s">
        <v>137</v>
      </c>
      <c r="C28" s="220" t="s">
        <v>138</v>
      </c>
      <c r="D28" s="305">
        <f t="shared" si="5"/>
        <v>18546</v>
      </c>
      <c r="E28" s="310">
        <f t="shared" si="2"/>
        <v>0</v>
      </c>
      <c r="F28" s="310">
        <v>0</v>
      </c>
      <c r="G28" s="310">
        <v>0</v>
      </c>
      <c r="H28" s="310">
        <f t="shared" si="3"/>
        <v>18546</v>
      </c>
      <c r="I28" s="336">
        <f>'[19]Раз.пос.(Пр.2-24) '!I28+'[19]Перевод ДН дети'!I28+'[19]Перевод 2 этапа ДВН'!I28+'[19]Перевод 2 этапа УД'!I28</f>
        <v>0</v>
      </c>
      <c r="J28" s="310">
        <v>5031</v>
      </c>
      <c r="K28" s="310">
        <v>107</v>
      </c>
      <c r="L28" s="310">
        <v>13408</v>
      </c>
      <c r="M28" s="310">
        <f>'[19]Раз.пос.(Пр.2-24) '!M28+'[19]Перевод ДН дети'!M28+'[19]Перевод 2 этапа ДВН'!M28+'[19]Перевод 2 этапа УД'!M28</f>
        <v>0</v>
      </c>
      <c r="N28" s="310">
        <f>'[19]Раз.пос.(Пр.2-24) '!N28+'[19]Перевод ДН дети'!N28+'[19]Перевод 2 этапа ДВН'!N28+'[19]Перевод 2 этапа УД'!N28</f>
        <v>0</v>
      </c>
      <c r="O28" s="305">
        <f t="shared" si="4"/>
        <v>0</v>
      </c>
      <c r="P28" s="310">
        <v>0</v>
      </c>
      <c r="Q28" s="310">
        <f>'[19]Раз.пос.(Пр.2-24) '!Q28+'[19]Перевод ДН дети'!Q28+'[19]Перевод 2 этапа ДВН'!Q28+'[19]Перевод 2 этапа УД'!Q28</f>
        <v>0</v>
      </c>
      <c r="R28" s="310">
        <v>0</v>
      </c>
      <c r="S28" s="310">
        <f>'[19]Раз.пос.(Пр.2-24) '!S28+'[19]Перевод ДН дети'!S28+'[19]Перевод 2 этапа ДВН'!S28+'[19]Перевод 2 этапа УД'!S28</f>
        <v>0</v>
      </c>
    </row>
    <row r="29" spans="1:19" x14ac:dyDescent="0.2">
      <c r="A29" s="309">
        <v>19</v>
      </c>
      <c r="B29" s="222" t="s">
        <v>139</v>
      </c>
      <c r="C29" s="220" t="s">
        <v>140</v>
      </c>
      <c r="D29" s="305">
        <f t="shared" si="5"/>
        <v>8997</v>
      </c>
      <c r="E29" s="310">
        <f t="shared" si="2"/>
        <v>0</v>
      </c>
      <c r="F29" s="310">
        <v>0</v>
      </c>
      <c r="G29" s="310">
        <v>0</v>
      </c>
      <c r="H29" s="310">
        <f t="shared" si="3"/>
        <v>8997</v>
      </c>
      <c r="I29" s="336">
        <f>'[19]Раз.пос.(Пр.2-24) '!I29+'[19]Перевод ДН дети'!I29+'[19]Перевод 2 этапа ДВН'!I29+'[19]Перевод 2 этапа УД'!I29</f>
        <v>0</v>
      </c>
      <c r="J29" s="310">
        <v>3304</v>
      </c>
      <c r="K29" s="310">
        <v>104</v>
      </c>
      <c r="L29" s="310">
        <v>5589</v>
      </c>
      <c r="M29" s="310">
        <f>'[19]Раз.пос.(Пр.2-24) '!M29+'[19]Перевод ДН дети'!M29+'[19]Перевод 2 этапа ДВН'!M29+'[19]Перевод 2 этапа УД'!M29</f>
        <v>0</v>
      </c>
      <c r="N29" s="310">
        <f>'[19]Раз.пос.(Пр.2-24) '!N29+'[19]Перевод ДН дети'!N29+'[19]Перевод 2 этапа ДВН'!N29+'[19]Перевод 2 этапа УД'!N29</f>
        <v>0</v>
      </c>
      <c r="O29" s="305">
        <f t="shared" si="4"/>
        <v>0</v>
      </c>
      <c r="P29" s="310">
        <v>0</v>
      </c>
      <c r="Q29" s="310">
        <f>'[19]Раз.пос.(Пр.2-24) '!Q29+'[19]Перевод ДН дети'!Q29+'[19]Перевод 2 этапа ДВН'!Q29+'[19]Перевод 2 этапа УД'!Q29</f>
        <v>0</v>
      </c>
      <c r="R29" s="310">
        <v>0</v>
      </c>
      <c r="S29" s="310">
        <f>'[19]Раз.пос.(Пр.2-24) '!S29+'[19]Перевод ДН дети'!S29+'[19]Перевод 2 этапа ДВН'!S29+'[19]Перевод 2 этапа УД'!S29</f>
        <v>0</v>
      </c>
    </row>
    <row r="30" spans="1:19" x14ac:dyDescent="0.2">
      <c r="A30" s="309">
        <v>20</v>
      </c>
      <c r="B30" s="222" t="s">
        <v>84</v>
      </c>
      <c r="C30" s="220" t="s">
        <v>85</v>
      </c>
      <c r="D30" s="305">
        <f t="shared" si="5"/>
        <v>54600</v>
      </c>
      <c r="E30" s="310">
        <f t="shared" si="2"/>
        <v>0</v>
      </c>
      <c r="F30" s="310">
        <v>0</v>
      </c>
      <c r="G30" s="310">
        <v>0</v>
      </c>
      <c r="H30" s="310">
        <f t="shared" si="3"/>
        <v>53136</v>
      </c>
      <c r="I30" s="336">
        <f>'[19]Раз.пос.(Пр.2-24) '!I30+'[19]Перевод ДН дети'!I30+'[19]Перевод 2 этапа ДВН'!I30+'[19]Перевод 2 этапа УД'!I30</f>
        <v>870</v>
      </c>
      <c r="J30" s="310">
        <v>12148</v>
      </c>
      <c r="K30" s="310">
        <v>2282</v>
      </c>
      <c r="L30" s="310">
        <v>37836</v>
      </c>
      <c r="M30" s="310">
        <f>'[19]Раз.пос.(Пр.2-24) '!M30+'[19]Перевод ДН дети'!M30+'[19]Перевод 2 этапа ДВН'!M30+'[19]Перевод 2 этапа УД'!M30</f>
        <v>1025</v>
      </c>
      <c r="N30" s="310">
        <f>'[19]Раз.пос.(Пр.2-24) '!N30+'[19]Перевод ДН дети'!N30+'[19]Перевод 2 этапа ДВН'!N30+'[19]Перевод 2 этапа УД'!N30</f>
        <v>439</v>
      </c>
      <c r="O30" s="305">
        <f t="shared" si="4"/>
        <v>0</v>
      </c>
      <c r="P30" s="310">
        <v>0</v>
      </c>
      <c r="Q30" s="310">
        <f>'[19]Раз.пос.(Пр.2-24) '!Q30+'[19]Перевод ДН дети'!Q30+'[19]Перевод 2 этапа ДВН'!Q30+'[19]Перевод 2 этапа УД'!Q30</f>
        <v>0</v>
      </c>
      <c r="R30" s="310">
        <v>0</v>
      </c>
      <c r="S30" s="310">
        <f>'[19]Раз.пос.(Пр.2-24) '!S30+'[19]Перевод ДН дети'!S30+'[19]Перевод 2 этапа ДВН'!S30+'[19]Перевод 2 этапа УД'!S30</f>
        <v>0</v>
      </c>
    </row>
    <row r="31" spans="1:19" x14ac:dyDescent="0.2">
      <c r="A31" s="309">
        <v>21</v>
      </c>
      <c r="B31" s="222" t="s">
        <v>141</v>
      </c>
      <c r="C31" s="220" t="s">
        <v>142</v>
      </c>
      <c r="D31" s="305">
        <f t="shared" si="5"/>
        <v>60333</v>
      </c>
      <c r="E31" s="310">
        <f t="shared" si="2"/>
        <v>0</v>
      </c>
      <c r="F31" s="310">
        <v>0</v>
      </c>
      <c r="G31" s="310">
        <v>0</v>
      </c>
      <c r="H31" s="310">
        <f t="shared" si="3"/>
        <v>58258</v>
      </c>
      <c r="I31" s="336">
        <f>'[19]Раз.пос.(Пр.2-24) '!I31+'[19]Перевод ДН дети'!I31+'[19]Перевод 2 этапа ДВН'!I31+'[19]Перевод 2 этапа УД'!I31</f>
        <v>0</v>
      </c>
      <c r="J31" s="310">
        <v>11307</v>
      </c>
      <c r="K31" s="310">
        <v>5186</v>
      </c>
      <c r="L31" s="310">
        <v>41765</v>
      </c>
      <c r="M31" s="310">
        <f>'[19]Раз.пос.(Пр.2-24) '!M31+'[19]Перевод ДН дети'!M31+'[19]Перевод 2 этапа ДВН'!M31+'[19]Перевод 2 этапа УД'!M31</f>
        <v>1025</v>
      </c>
      <c r="N31" s="310">
        <f>'[19]Раз.пос.(Пр.2-24) '!N31+'[19]Перевод ДН дети'!N31+'[19]Перевод 2 этапа ДВН'!N31+'[19]Перевод 2 этапа УД'!N31</f>
        <v>439</v>
      </c>
      <c r="O31" s="305">
        <f t="shared" si="4"/>
        <v>611</v>
      </c>
      <c r="P31" s="310">
        <v>0</v>
      </c>
      <c r="Q31" s="310">
        <f>'[19]Раз.пос.(Пр.2-24) '!Q31+'[19]Перевод ДН дети'!Q31+'[19]Перевод 2 этапа ДВН'!Q31+'[19]Перевод 2 этапа УД'!Q31</f>
        <v>0</v>
      </c>
      <c r="R31" s="310">
        <v>611</v>
      </c>
      <c r="S31" s="310">
        <f>'[19]Раз.пос.(Пр.2-24) '!S31+'[19]Перевод ДН дети'!S31+'[19]Перевод 2 этапа ДВН'!S31+'[19]Перевод 2 этапа УД'!S31</f>
        <v>0</v>
      </c>
    </row>
    <row r="32" spans="1:19" x14ac:dyDescent="0.2">
      <c r="A32" s="309">
        <v>22</v>
      </c>
      <c r="B32" s="219" t="s">
        <v>143</v>
      </c>
      <c r="C32" s="220" t="s">
        <v>144</v>
      </c>
      <c r="D32" s="305">
        <f t="shared" si="5"/>
        <v>13838</v>
      </c>
      <c r="E32" s="310">
        <f t="shared" si="2"/>
        <v>0</v>
      </c>
      <c r="F32" s="310">
        <v>0</v>
      </c>
      <c r="G32" s="310">
        <v>0</v>
      </c>
      <c r="H32" s="310">
        <f t="shared" si="3"/>
        <v>13838</v>
      </c>
      <c r="I32" s="336">
        <f>'[19]Раз.пос.(Пр.2-24) '!I32+'[19]Перевод ДН дети'!I32+'[19]Перевод 2 этапа ДВН'!I32+'[19]Перевод 2 этапа УД'!I32</f>
        <v>0</v>
      </c>
      <c r="J32" s="310">
        <v>4588</v>
      </c>
      <c r="K32" s="310">
        <v>3531</v>
      </c>
      <c r="L32" s="310">
        <v>5719</v>
      </c>
      <c r="M32" s="310">
        <f>'[19]Раз.пос.(Пр.2-24) '!M32+'[19]Перевод ДН дети'!M32+'[19]Перевод 2 этапа ДВН'!M32+'[19]Перевод 2 этапа УД'!M32</f>
        <v>0</v>
      </c>
      <c r="N32" s="310">
        <f>'[19]Раз.пос.(Пр.2-24) '!N32+'[19]Перевод ДН дети'!N32+'[19]Перевод 2 этапа ДВН'!N32+'[19]Перевод 2 этапа УД'!N32</f>
        <v>0</v>
      </c>
      <c r="O32" s="305">
        <f t="shared" si="4"/>
        <v>0</v>
      </c>
      <c r="P32" s="310">
        <v>0</v>
      </c>
      <c r="Q32" s="310">
        <f>'[19]Раз.пос.(Пр.2-24) '!Q32+'[19]Перевод ДН дети'!Q32+'[19]Перевод 2 этапа ДВН'!Q32+'[19]Перевод 2 этапа УД'!Q32</f>
        <v>0</v>
      </c>
      <c r="R32" s="310">
        <v>0</v>
      </c>
      <c r="S32" s="310">
        <f>'[19]Раз.пос.(Пр.2-24) '!S32+'[19]Перевод ДН дети'!S32+'[19]Перевод 2 этапа ДВН'!S32+'[19]Перевод 2 этапа УД'!S32</f>
        <v>0</v>
      </c>
    </row>
    <row r="33" spans="1:19" x14ac:dyDescent="0.2">
      <c r="A33" s="309">
        <v>23</v>
      </c>
      <c r="B33" s="219" t="s">
        <v>145</v>
      </c>
      <c r="C33" s="220" t="s">
        <v>146</v>
      </c>
      <c r="D33" s="305">
        <f t="shared" si="5"/>
        <v>0</v>
      </c>
      <c r="E33" s="310">
        <f t="shared" si="2"/>
        <v>0</v>
      </c>
      <c r="F33" s="310">
        <v>0</v>
      </c>
      <c r="G33" s="310">
        <v>0</v>
      </c>
      <c r="H33" s="310">
        <f t="shared" si="3"/>
        <v>0</v>
      </c>
      <c r="I33" s="336">
        <f>'[19]Раз.пос.(Пр.2-24) '!I33+'[19]Перевод ДН дети'!I33+'[19]Перевод 2 этапа ДВН'!I33+'[19]Перевод 2 этапа УД'!I33</f>
        <v>0</v>
      </c>
      <c r="J33" s="310">
        <v>0</v>
      </c>
      <c r="K33" s="310">
        <v>0</v>
      </c>
      <c r="L33" s="310">
        <v>0</v>
      </c>
      <c r="M33" s="310">
        <f>'[19]Раз.пос.(Пр.2-24) '!M33+'[19]Перевод ДН дети'!M33+'[19]Перевод 2 этапа ДВН'!M33+'[19]Перевод 2 этапа УД'!M33</f>
        <v>0</v>
      </c>
      <c r="N33" s="310">
        <f>'[19]Раз.пос.(Пр.2-24) '!N33+'[19]Перевод ДН дети'!N33+'[19]Перевод 2 этапа ДВН'!N33+'[19]Перевод 2 этапа УД'!N33</f>
        <v>0</v>
      </c>
      <c r="O33" s="305">
        <f t="shared" si="4"/>
        <v>0</v>
      </c>
      <c r="P33" s="310">
        <v>0</v>
      </c>
      <c r="Q33" s="310">
        <f>'[19]Раз.пос.(Пр.2-24) '!Q33+'[19]Перевод ДН дети'!Q33+'[19]Перевод 2 этапа ДВН'!Q33+'[19]Перевод 2 этапа УД'!Q33</f>
        <v>0</v>
      </c>
      <c r="R33" s="310">
        <v>0</v>
      </c>
      <c r="S33" s="310">
        <f>'[19]Раз.пос.(Пр.2-24) '!S33+'[19]Перевод ДН дети'!S33+'[19]Перевод 2 этапа ДВН'!S33+'[19]Перевод 2 этапа УД'!S33</f>
        <v>0</v>
      </c>
    </row>
    <row r="34" spans="1:19" ht="24" x14ac:dyDescent="0.2">
      <c r="A34" s="309">
        <v>24</v>
      </c>
      <c r="B34" s="219" t="s">
        <v>147</v>
      </c>
      <c r="C34" s="220" t="s">
        <v>148</v>
      </c>
      <c r="D34" s="305">
        <f t="shared" si="5"/>
        <v>0</v>
      </c>
      <c r="E34" s="310">
        <f t="shared" si="2"/>
        <v>0</v>
      </c>
      <c r="F34" s="310">
        <v>0</v>
      </c>
      <c r="G34" s="310">
        <v>0</v>
      </c>
      <c r="H34" s="310">
        <f t="shared" si="3"/>
        <v>0</v>
      </c>
      <c r="I34" s="336">
        <f>'[19]Раз.пос.(Пр.2-24) '!I34+'[19]Перевод ДН дети'!I34+'[19]Перевод 2 этапа ДВН'!I34+'[19]Перевод 2 этапа УД'!I34</f>
        <v>0</v>
      </c>
      <c r="J34" s="310">
        <v>0</v>
      </c>
      <c r="K34" s="310">
        <v>0</v>
      </c>
      <c r="L34" s="310">
        <v>0</v>
      </c>
      <c r="M34" s="310">
        <f>'[19]Раз.пос.(Пр.2-24) '!M34+'[19]Перевод ДН дети'!M34+'[19]Перевод 2 этапа ДВН'!M34+'[19]Перевод 2 этапа УД'!M34</f>
        <v>0</v>
      </c>
      <c r="N34" s="310">
        <f>'[19]Раз.пос.(Пр.2-24) '!N34+'[19]Перевод ДН дети'!N34+'[19]Перевод 2 этапа ДВН'!N34+'[19]Перевод 2 этапа УД'!N34</f>
        <v>0</v>
      </c>
      <c r="O34" s="305">
        <f t="shared" si="4"/>
        <v>0</v>
      </c>
      <c r="P34" s="310">
        <v>0</v>
      </c>
      <c r="Q34" s="310">
        <f>'[19]Раз.пос.(Пр.2-24) '!Q34+'[19]Перевод ДН дети'!Q34+'[19]Перевод 2 этапа ДВН'!Q34+'[19]Перевод 2 этапа УД'!Q34</f>
        <v>0</v>
      </c>
      <c r="R34" s="310">
        <v>0</v>
      </c>
      <c r="S34" s="310">
        <f>'[19]Раз.пос.(Пр.2-24) '!S34+'[19]Перевод ДН дети'!S34+'[19]Перевод 2 этапа ДВН'!S34+'[19]Перевод 2 этапа УД'!S34</f>
        <v>0</v>
      </c>
    </row>
    <row r="35" spans="1:19" x14ac:dyDescent="0.2">
      <c r="A35" s="309">
        <v>25</v>
      </c>
      <c r="B35" s="222" t="s">
        <v>149</v>
      </c>
      <c r="C35" s="220" t="s">
        <v>150</v>
      </c>
      <c r="D35" s="305">
        <f t="shared" si="5"/>
        <v>96979</v>
      </c>
      <c r="E35" s="310">
        <f t="shared" si="2"/>
        <v>0</v>
      </c>
      <c r="F35" s="310">
        <v>0</v>
      </c>
      <c r="G35" s="310">
        <v>0</v>
      </c>
      <c r="H35" s="310">
        <f t="shared" si="3"/>
        <v>90553</v>
      </c>
      <c r="I35" s="336">
        <f>'[19]Раз.пос.(Пр.2-24) '!I35+'[19]Перевод ДН дети'!I35+'[19]Перевод 2 этапа ДВН'!I35+'[19]Перевод 2 этапа УД'!I35</f>
        <v>0</v>
      </c>
      <c r="J35" s="310">
        <v>54776</v>
      </c>
      <c r="K35" s="310">
        <v>3633</v>
      </c>
      <c r="L35" s="310">
        <v>32144</v>
      </c>
      <c r="M35" s="310">
        <f>'[19]Раз.пос.(Пр.2-24) '!M35+'[19]Перевод ДН дети'!M35+'[19]Перевод 2 этапа ДВН'!M35+'[19]Перевод 2 этапа УД'!M35</f>
        <v>3075</v>
      </c>
      <c r="N35" s="310">
        <f>'[19]Раз.пос.(Пр.2-24) '!N35+'[19]Перевод ДН дети'!N35+'[19]Перевод 2 этапа ДВН'!N35+'[19]Перевод 2 этапа УД'!N35</f>
        <v>1317</v>
      </c>
      <c r="O35" s="305">
        <f t="shared" si="4"/>
        <v>2034</v>
      </c>
      <c r="P35" s="310">
        <v>0</v>
      </c>
      <c r="Q35" s="310">
        <f>'[19]Раз.пос.(Пр.2-24) '!Q35+'[19]Перевод ДН дети'!Q35+'[19]Перевод 2 этапа ДВН'!Q35+'[19]Перевод 2 этапа УД'!Q35</f>
        <v>0</v>
      </c>
      <c r="R35" s="310">
        <v>2034</v>
      </c>
      <c r="S35" s="310">
        <f>'[19]Раз.пос.(Пр.2-24) '!S35+'[19]Перевод ДН дети'!S35+'[19]Перевод 2 этапа ДВН'!S35+'[19]Перевод 2 этапа УД'!S35</f>
        <v>0</v>
      </c>
    </row>
    <row r="36" spans="1:19" x14ac:dyDescent="0.2">
      <c r="A36" s="309">
        <v>26</v>
      </c>
      <c r="B36" s="219" t="s">
        <v>151</v>
      </c>
      <c r="C36" s="220" t="s">
        <v>152</v>
      </c>
      <c r="D36" s="305">
        <f t="shared" si="5"/>
        <v>62329</v>
      </c>
      <c r="E36" s="310">
        <f t="shared" si="2"/>
        <v>100</v>
      </c>
      <c r="F36" s="310">
        <v>100</v>
      </c>
      <c r="G36" s="310">
        <v>0</v>
      </c>
      <c r="H36" s="310">
        <f t="shared" si="3"/>
        <v>59807</v>
      </c>
      <c r="I36" s="336">
        <f>'[19]Раз.пос.(Пр.2-24) '!I36+'[19]Перевод ДН дети'!I36+'[19]Перевод 2 этапа ДВН'!I36+'[19]Перевод 2 этапа УД'!I36</f>
        <v>0</v>
      </c>
      <c r="J36" s="310">
        <v>4283</v>
      </c>
      <c r="K36" s="310">
        <v>0</v>
      </c>
      <c r="L36" s="310">
        <v>55524</v>
      </c>
      <c r="M36" s="310">
        <f>'[19]Раз.пос.(Пр.2-24) '!M36+'[19]Перевод ДН дети'!M36+'[19]Перевод 2 этапа ДВН'!M36+'[19]Перевод 2 этапа УД'!M36</f>
        <v>0</v>
      </c>
      <c r="N36" s="310">
        <f>'[19]Раз.пос.(Пр.2-24) '!N36+'[19]Перевод ДН дети'!N36+'[19]Перевод 2 этапа ДВН'!N36+'[19]Перевод 2 этапа УД'!N36</f>
        <v>0</v>
      </c>
      <c r="O36" s="305">
        <f t="shared" si="4"/>
        <v>2422</v>
      </c>
      <c r="P36" s="310">
        <v>0</v>
      </c>
      <c r="Q36" s="310">
        <f>'[19]Раз.пос.(Пр.2-24) '!Q36+'[19]Перевод ДН дети'!Q36+'[19]Перевод 2 этапа ДВН'!Q36+'[19]Перевод 2 этапа УД'!Q36</f>
        <v>0</v>
      </c>
      <c r="R36" s="310">
        <v>2422</v>
      </c>
      <c r="S36" s="310">
        <f>'[19]Раз.пос.(Пр.2-24) '!S36+'[19]Перевод ДН дети'!S36+'[19]Перевод 2 этапа ДВН'!S36+'[19]Перевод 2 этапа УД'!S36</f>
        <v>0</v>
      </c>
    </row>
    <row r="37" spans="1:19" x14ac:dyDescent="0.2">
      <c r="A37" s="309">
        <v>27</v>
      </c>
      <c r="B37" s="224" t="s">
        <v>153</v>
      </c>
      <c r="C37" s="220" t="s">
        <v>154</v>
      </c>
      <c r="D37" s="305">
        <f t="shared" si="5"/>
        <v>10270</v>
      </c>
      <c r="E37" s="310">
        <f t="shared" si="2"/>
        <v>0</v>
      </c>
      <c r="F37" s="310">
        <v>0</v>
      </c>
      <c r="G37" s="310">
        <v>0</v>
      </c>
      <c r="H37" s="310">
        <f t="shared" si="3"/>
        <v>10270</v>
      </c>
      <c r="I37" s="336">
        <f>'[19]Раз.пос.(Пр.2-24) '!I37+'[19]Перевод ДН дети'!I37+'[19]Перевод 2 этапа ДВН'!I37+'[19]Перевод 2 этапа УД'!I37</f>
        <v>2139</v>
      </c>
      <c r="J37" s="310">
        <v>0</v>
      </c>
      <c r="K37" s="310">
        <v>8131</v>
      </c>
      <c r="L37" s="310">
        <v>0</v>
      </c>
      <c r="M37" s="310">
        <f>'[19]Раз.пос.(Пр.2-24) '!M37+'[19]Перевод ДН дети'!M37+'[19]Перевод 2 этапа ДВН'!M37+'[19]Перевод 2 этапа УД'!M37</f>
        <v>0</v>
      </c>
      <c r="N37" s="310">
        <f>'[19]Раз.пос.(Пр.2-24) '!N37+'[19]Перевод ДН дети'!N37+'[19]Перевод 2 этапа ДВН'!N37+'[19]Перевод 2 этапа УД'!N37</f>
        <v>0</v>
      </c>
      <c r="O37" s="305">
        <f t="shared" si="4"/>
        <v>0</v>
      </c>
      <c r="P37" s="310">
        <v>0</v>
      </c>
      <c r="Q37" s="310">
        <f>'[19]Раз.пос.(Пр.2-24) '!Q37+'[19]Перевод ДН дети'!Q37+'[19]Перевод 2 этапа ДВН'!Q37+'[19]Перевод 2 этапа УД'!Q37</f>
        <v>0</v>
      </c>
      <c r="R37" s="310">
        <v>0</v>
      </c>
      <c r="S37" s="310">
        <f>'[19]Раз.пос.(Пр.2-24) '!S37+'[19]Перевод ДН дети'!S37+'[19]Перевод 2 этапа ДВН'!S37+'[19]Перевод 2 этапа УД'!S37</f>
        <v>0</v>
      </c>
    </row>
    <row r="38" spans="1:19" x14ac:dyDescent="0.2">
      <c r="A38" s="309">
        <v>28</v>
      </c>
      <c r="B38" s="222" t="s">
        <v>155</v>
      </c>
      <c r="C38" s="311" t="s">
        <v>156</v>
      </c>
      <c r="D38" s="305">
        <f t="shared" si="5"/>
        <v>0</v>
      </c>
      <c r="E38" s="310">
        <f t="shared" si="2"/>
        <v>0</v>
      </c>
      <c r="F38" s="310">
        <v>0</v>
      </c>
      <c r="G38" s="310">
        <v>0</v>
      </c>
      <c r="H38" s="310">
        <f t="shared" si="3"/>
        <v>0</v>
      </c>
      <c r="I38" s="336">
        <f>'[19]Раз.пос.(Пр.2-24) '!I38+'[19]Перевод ДН дети'!I38+'[19]Перевод 2 этапа ДВН'!I38+'[19]Перевод 2 этапа УД'!I38</f>
        <v>0</v>
      </c>
      <c r="J38" s="310">
        <v>0</v>
      </c>
      <c r="K38" s="310">
        <v>0</v>
      </c>
      <c r="L38" s="310">
        <v>0</v>
      </c>
      <c r="M38" s="310">
        <f>'[19]Раз.пос.(Пр.2-24) '!M38+'[19]Перевод ДН дети'!M38+'[19]Перевод 2 этапа ДВН'!M38+'[19]Перевод 2 этапа УД'!M38</f>
        <v>0</v>
      </c>
      <c r="N38" s="310">
        <f>'[19]Раз.пос.(Пр.2-24) '!N38+'[19]Перевод ДН дети'!N38+'[19]Перевод 2 этапа ДВН'!N38+'[19]Перевод 2 этапа УД'!N38</f>
        <v>0</v>
      </c>
      <c r="O38" s="305">
        <f t="shared" si="4"/>
        <v>0</v>
      </c>
      <c r="P38" s="310">
        <v>0</v>
      </c>
      <c r="Q38" s="310">
        <f>'[19]Раз.пос.(Пр.2-24) '!Q38+'[19]Перевод ДН дети'!Q38+'[19]Перевод 2 этапа ДВН'!Q38+'[19]Перевод 2 этапа УД'!Q38</f>
        <v>0</v>
      </c>
      <c r="R38" s="310">
        <v>0</v>
      </c>
      <c r="S38" s="310">
        <f>'[19]Раз.пос.(Пр.2-24) '!S38+'[19]Перевод ДН дети'!S38+'[19]Перевод 2 этапа ДВН'!S38+'[19]Перевод 2 этапа УД'!S38</f>
        <v>0</v>
      </c>
    </row>
    <row r="39" spans="1:19" x14ac:dyDescent="0.2">
      <c r="A39" s="309">
        <v>29</v>
      </c>
      <c r="B39" s="224" t="s">
        <v>157</v>
      </c>
      <c r="C39" s="220" t="s">
        <v>158</v>
      </c>
      <c r="D39" s="305">
        <f t="shared" si="5"/>
        <v>55112</v>
      </c>
      <c r="E39" s="310">
        <f t="shared" si="2"/>
        <v>0</v>
      </c>
      <c r="F39" s="310">
        <v>0</v>
      </c>
      <c r="G39" s="310">
        <v>0</v>
      </c>
      <c r="H39" s="310">
        <f t="shared" si="3"/>
        <v>52732</v>
      </c>
      <c r="I39" s="336">
        <f>'[19]Раз.пос.(Пр.2-24) '!I39+'[19]Перевод ДН дети'!I39+'[19]Перевод 2 этапа ДВН'!I39+'[19]Перевод 2 этапа УД'!I39</f>
        <v>0</v>
      </c>
      <c r="J39" s="310">
        <v>16793</v>
      </c>
      <c r="K39" s="310">
        <v>2900</v>
      </c>
      <c r="L39" s="310">
        <v>33039</v>
      </c>
      <c r="M39" s="310">
        <f>'[19]Раз.пос.(Пр.2-24) '!M39+'[19]Перевод ДН дети'!M39+'[19]Перевод 2 этапа ДВН'!M39+'[19]Перевод 2 этапа УД'!M39</f>
        <v>1025</v>
      </c>
      <c r="N39" s="310">
        <f>'[19]Раз.пос.(Пр.2-24) '!N39+'[19]Перевод ДН дети'!N39+'[19]Перевод 2 этапа ДВН'!N39+'[19]Перевод 2 этапа УД'!N39</f>
        <v>439</v>
      </c>
      <c r="O39" s="305">
        <f t="shared" si="4"/>
        <v>916</v>
      </c>
      <c r="P39" s="310">
        <v>0</v>
      </c>
      <c r="Q39" s="310">
        <f>'[19]Раз.пос.(Пр.2-24) '!Q39+'[19]Перевод ДН дети'!Q39+'[19]Перевод 2 этапа ДВН'!Q39+'[19]Перевод 2 этапа УД'!Q39</f>
        <v>0</v>
      </c>
      <c r="R39" s="310">
        <v>916</v>
      </c>
      <c r="S39" s="310">
        <f>'[19]Раз.пос.(Пр.2-24) '!S39+'[19]Перевод ДН дети'!S39+'[19]Перевод 2 этапа ДВН'!S39+'[19]Перевод 2 этапа УД'!S39</f>
        <v>0</v>
      </c>
    </row>
    <row r="40" spans="1:19" x14ac:dyDescent="0.2">
      <c r="A40" s="309">
        <v>30</v>
      </c>
      <c r="B40" s="222" t="s">
        <v>46</v>
      </c>
      <c r="C40" s="220" t="s">
        <v>47</v>
      </c>
      <c r="D40" s="305">
        <f t="shared" si="5"/>
        <v>89507</v>
      </c>
      <c r="E40" s="310">
        <f t="shared" si="2"/>
        <v>0</v>
      </c>
      <c r="F40" s="310">
        <v>0</v>
      </c>
      <c r="G40" s="310">
        <v>0</v>
      </c>
      <c r="H40" s="310">
        <f t="shared" si="3"/>
        <v>87754</v>
      </c>
      <c r="I40" s="336">
        <f>'[19]Раз.пос.(Пр.2-24) '!I40+'[19]Перевод ДН дети'!I40+'[19]Перевод 2 этапа ДВН'!I40+'[19]Перевод 2 этапа УД'!I40</f>
        <v>407</v>
      </c>
      <c r="J40" s="310">
        <v>28331</v>
      </c>
      <c r="K40" s="310">
        <v>8529</v>
      </c>
      <c r="L40" s="310">
        <v>50487</v>
      </c>
      <c r="M40" s="310">
        <f>'[19]Раз.пос.(Пр.2-24) '!M40+'[19]Перевод ДН дети'!M40+'[19]Перевод 2 этапа ДВН'!M40+'[19]Перевод 2 этапа УД'!M40</f>
        <v>1025</v>
      </c>
      <c r="N40" s="310">
        <f>'[19]Раз.пос.(Пр.2-24) '!N40+'[19]Перевод ДН дети'!N40+'[19]Перевод 2 этапа ДВН'!N40+'[19]Перевод 2 этапа УД'!N40</f>
        <v>439</v>
      </c>
      <c r="O40" s="305">
        <f t="shared" si="4"/>
        <v>289</v>
      </c>
      <c r="P40" s="310">
        <v>0</v>
      </c>
      <c r="Q40" s="310">
        <f>'[19]Раз.пос.(Пр.2-24) '!Q40+'[19]Перевод ДН дети'!Q40+'[19]Перевод 2 этапа ДВН'!Q40+'[19]Перевод 2 этапа УД'!Q40</f>
        <v>0</v>
      </c>
      <c r="R40" s="310">
        <v>289</v>
      </c>
      <c r="S40" s="310">
        <f>'[19]Раз.пос.(Пр.2-24) '!S40+'[19]Перевод ДН дети'!S40+'[19]Перевод 2 этапа ДВН'!S40+'[19]Перевод 2 этапа УД'!S40</f>
        <v>0</v>
      </c>
    </row>
    <row r="41" spans="1:19" x14ac:dyDescent="0.2">
      <c r="A41" s="309">
        <v>31</v>
      </c>
      <c r="B41" s="224" t="s">
        <v>159</v>
      </c>
      <c r="C41" s="220" t="s">
        <v>160</v>
      </c>
      <c r="D41" s="305">
        <f t="shared" si="5"/>
        <v>16400</v>
      </c>
      <c r="E41" s="310">
        <f t="shared" si="2"/>
        <v>0</v>
      </c>
      <c r="F41" s="310">
        <v>0</v>
      </c>
      <c r="G41" s="310">
        <v>0</v>
      </c>
      <c r="H41" s="310">
        <f t="shared" si="3"/>
        <v>16400</v>
      </c>
      <c r="I41" s="336">
        <f>'[19]Раз.пос.(Пр.2-24) '!I41+'[19]Перевод ДН дети'!I41+'[19]Перевод 2 этапа ДВН'!I41+'[19]Перевод 2 этапа УД'!I41</f>
        <v>0</v>
      </c>
      <c r="J41" s="310">
        <v>4004</v>
      </c>
      <c r="K41" s="310">
        <v>0</v>
      </c>
      <c r="L41" s="310">
        <v>12396</v>
      </c>
      <c r="M41" s="310">
        <f>'[19]Раз.пос.(Пр.2-24) '!M41+'[19]Перевод ДН дети'!M41+'[19]Перевод 2 этапа ДВН'!M41+'[19]Перевод 2 этапа УД'!M41</f>
        <v>0</v>
      </c>
      <c r="N41" s="310">
        <f>'[19]Раз.пос.(Пр.2-24) '!N41+'[19]Перевод ДН дети'!N41+'[19]Перевод 2 этапа ДВН'!N41+'[19]Перевод 2 этапа УД'!N41</f>
        <v>0</v>
      </c>
      <c r="O41" s="305">
        <f t="shared" si="4"/>
        <v>0</v>
      </c>
      <c r="P41" s="310">
        <v>0</v>
      </c>
      <c r="Q41" s="310">
        <f>'[19]Раз.пос.(Пр.2-24) '!Q41+'[19]Перевод ДН дети'!Q41+'[19]Перевод 2 этапа ДВН'!Q41+'[19]Перевод 2 этапа УД'!Q41</f>
        <v>0</v>
      </c>
      <c r="R41" s="310">
        <v>0</v>
      </c>
      <c r="S41" s="310">
        <f>'[19]Раз.пос.(Пр.2-24) '!S41+'[19]Перевод ДН дети'!S41+'[19]Перевод 2 этапа ДВН'!S41+'[19]Перевод 2 этапа УД'!S41</f>
        <v>0</v>
      </c>
    </row>
    <row r="42" spans="1:19" x14ac:dyDescent="0.2">
      <c r="A42" s="309">
        <v>32</v>
      </c>
      <c r="B42" s="219" t="s">
        <v>58</v>
      </c>
      <c r="C42" s="220" t="s">
        <v>59</v>
      </c>
      <c r="D42" s="305">
        <f t="shared" si="5"/>
        <v>49836</v>
      </c>
      <c r="E42" s="310">
        <f t="shared" si="2"/>
        <v>0</v>
      </c>
      <c r="F42" s="310">
        <v>0</v>
      </c>
      <c r="G42" s="310">
        <v>0</v>
      </c>
      <c r="H42" s="310">
        <f t="shared" si="3"/>
        <v>48372</v>
      </c>
      <c r="I42" s="336">
        <f>'[19]Раз.пос.(Пр.2-24) '!I42+'[19]Перевод ДН дети'!I42+'[19]Перевод 2 этапа ДВН'!I42+'[19]Перевод 2 этапа УД'!I42</f>
        <v>0</v>
      </c>
      <c r="J42" s="310">
        <v>12881</v>
      </c>
      <c r="K42" s="310">
        <v>4081</v>
      </c>
      <c r="L42" s="310">
        <v>31410</v>
      </c>
      <c r="M42" s="310">
        <f>'[19]Раз.пос.(Пр.2-24) '!M42+'[19]Перевод ДН дети'!M42+'[19]Перевод 2 этапа ДВН'!M42+'[19]Перевод 2 этапа УД'!M42</f>
        <v>1025</v>
      </c>
      <c r="N42" s="310">
        <f>'[19]Раз.пос.(Пр.2-24) '!N42+'[19]Перевод ДН дети'!N42+'[19]Перевод 2 этапа ДВН'!N42+'[19]Перевод 2 этапа УД'!N42</f>
        <v>439</v>
      </c>
      <c r="O42" s="305">
        <f t="shared" si="4"/>
        <v>0</v>
      </c>
      <c r="P42" s="310">
        <v>0</v>
      </c>
      <c r="Q42" s="310">
        <f>'[19]Раз.пос.(Пр.2-24) '!Q42+'[19]Перевод ДН дети'!Q42+'[19]Перевод 2 этапа ДВН'!Q42+'[19]Перевод 2 этапа УД'!Q42</f>
        <v>0</v>
      </c>
      <c r="R42" s="310">
        <v>0</v>
      </c>
      <c r="S42" s="310">
        <f>'[19]Раз.пос.(Пр.2-24) '!S42+'[19]Перевод ДН дети'!S42+'[19]Перевод 2 этапа ДВН'!S42+'[19]Перевод 2 этапа УД'!S42</f>
        <v>0</v>
      </c>
    </row>
    <row r="43" spans="1:19" x14ac:dyDescent="0.2">
      <c r="A43" s="309">
        <v>33</v>
      </c>
      <c r="B43" s="224" t="s">
        <v>161</v>
      </c>
      <c r="C43" s="220" t="s">
        <v>162</v>
      </c>
      <c r="D43" s="305">
        <f t="shared" si="5"/>
        <v>26638</v>
      </c>
      <c r="E43" s="310">
        <f t="shared" si="2"/>
        <v>0</v>
      </c>
      <c r="F43" s="310">
        <v>0</v>
      </c>
      <c r="G43" s="310">
        <v>0</v>
      </c>
      <c r="H43" s="310">
        <f t="shared" si="3"/>
        <v>26638</v>
      </c>
      <c r="I43" s="336">
        <f>'[19]Раз.пос.(Пр.2-24) '!I43+'[19]Перевод ДН дети'!I43+'[19]Перевод 2 этапа ДВН'!I43+'[19]Перевод 2 этапа УД'!I43</f>
        <v>0</v>
      </c>
      <c r="J43" s="310">
        <v>6533</v>
      </c>
      <c r="K43" s="310">
        <v>3516</v>
      </c>
      <c r="L43" s="310">
        <v>16589</v>
      </c>
      <c r="M43" s="310">
        <f>'[19]Раз.пос.(Пр.2-24) '!M43+'[19]Перевод ДН дети'!M43+'[19]Перевод 2 этапа ДВН'!M43+'[19]Перевод 2 этапа УД'!M43</f>
        <v>0</v>
      </c>
      <c r="N43" s="310">
        <f>'[19]Раз.пос.(Пр.2-24) '!N43+'[19]Перевод ДН дети'!N43+'[19]Перевод 2 этапа ДВН'!N43+'[19]Перевод 2 этапа УД'!N43</f>
        <v>0</v>
      </c>
      <c r="O43" s="305">
        <f t="shared" si="4"/>
        <v>0</v>
      </c>
      <c r="P43" s="310">
        <v>0</v>
      </c>
      <c r="Q43" s="310">
        <f>'[19]Раз.пос.(Пр.2-24) '!Q43+'[19]Перевод ДН дети'!Q43+'[19]Перевод 2 этапа ДВН'!Q43+'[19]Перевод 2 этапа УД'!Q43</f>
        <v>0</v>
      </c>
      <c r="R43" s="310">
        <v>0</v>
      </c>
      <c r="S43" s="310">
        <f>'[19]Раз.пос.(Пр.2-24) '!S43+'[19]Перевод ДН дети'!S43+'[19]Перевод 2 этапа ДВН'!S43+'[19]Перевод 2 этапа УД'!S43</f>
        <v>0</v>
      </c>
    </row>
    <row r="44" spans="1:19" x14ac:dyDescent="0.2">
      <c r="A44" s="309">
        <v>34</v>
      </c>
      <c r="B44" s="222" t="s">
        <v>82</v>
      </c>
      <c r="C44" s="220" t="s">
        <v>83</v>
      </c>
      <c r="D44" s="305">
        <f t="shared" si="5"/>
        <v>72881</v>
      </c>
      <c r="E44" s="310">
        <f t="shared" si="2"/>
        <v>0</v>
      </c>
      <c r="F44" s="310">
        <v>0</v>
      </c>
      <c r="G44" s="310">
        <v>0</v>
      </c>
      <c r="H44" s="310">
        <f t="shared" si="3"/>
        <v>71417</v>
      </c>
      <c r="I44" s="336">
        <f>'[19]Раз.пос.(Пр.2-24) '!I44+'[19]Перевод ДН дети'!I44+'[19]Перевод 2 этапа ДВН'!I44+'[19]Перевод 2 этапа УД'!I44</f>
        <v>0</v>
      </c>
      <c r="J44" s="310">
        <v>14387</v>
      </c>
      <c r="K44" s="310">
        <v>3300</v>
      </c>
      <c r="L44" s="310">
        <v>53730</v>
      </c>
      <c r="M44" s="310">
        <f>'[19]Раз.пос.(Пр.2-24) '!M44+'[19]Перевод ДН дети'!M44+'[19]Перевод 2 этапа ДВН'!M44+'[19]Перевод 2 этапа УД'!M44</f>
        <v>1025</v>
      </c>
      <c r="N44" s="310">
        <f>'[19]Раз.пос.(Пр.2-24) '!N44+'[19]Перевод ДН дети'!N44+'[19]Перевод 2 этапа ДВН'!N44+'[19]Перевод 2 этапа УД'!N44</f>
        <v>439</v>
      </c>
      <c r="O44" s="305">
        <f t="shared" si="4"/>
        <v>0</v>
      </c>
      <c r="P44" s="310">
        <v>0</v>
      </c>
      <c r="Q44" s="310">
        <f>'[19]Раз.пос.(Пр.2-24) '!Q44+'[19]Перевод ДН дети'!Q44+'[19]Перевод 2 этапа ДВН'!Q44+'[19]Перевод 2 этапа УД'!Q44</f>
        <v>0</v>
      </c>
      <c r="R44" s="310">
        <v>0</v>
      </c>
      <c r="S44" s="310">
        <f>'[19]Раз.пос.(Пр.2-24) '!S44+'[19]Перевод ДН дети'!S44+'[19]Перевод 2 этапа ДВН'!S44+'[19]Перевод 2 этапа УД'!S44</f>
        <v>0</v>
      </c>
    </row>
    <row r="45" spans="1:19" x14ac:dyDescent="0.2">
      <c r="A45" s="309">
        <v>35</v>
      </c>
      <c r="B45" s="312" t="s">
        <v>163</v>
      </c>
      <c r="C45" s="313" t="s">
        <v>164</v>
      </c>
      <c r="D45" s="305">
        <f t="shared" si="5"/>
        <v>14790</v>
      </c>
      <c r="E45" s="310">
        <f t="shared" si="2"/>
        <v>0</v>
      </c>
      <c r="F45" s="310">
        <v>0</v>
      </c>
      <c r="G45" s="310">
        <v>0</v>
      </c>
      <c r="H45" s="310">
        <f t="shared" si="3"/>
        <v>14790</v>
      </c>
      <c r="I45" s="336">
        <f>'[19]Раз.пос.(Пр.2-24) '!I45+'[19]Перевод ДН дети'!I45+'[19]Перевод 2 этапа ДВН'!I45+'[19]Перевод 2 этапа УД'!I45</f>
        <v>0</v>
      </c>
      <c r="J45" s="310">
        <v>4509</v>
      </c>
      <c r="K45" s="310">
        <v>2313</v>
      </c>
      <c r="L45" s="310">
        <v>7968</v>
      </c>
      <c r="M45" s="310">
        <f>'[19]Раз.пос.(Пр.2-24) '!M45+'[19]Перевод ДН дети'!M45+'[19]Перевод 2 этапа ДВН'!M45+'[19]Перевод 2 этапа УД'!M45</f>
        <v>0</v>
      </c>
      <c r="N45" s="310">
        <f>'[19]Раз.пос.(Пр.2-24) '!N45+'[19]Перевод ДН дети'!N45+'[19]Перевод 2 этапа ДВН'!N45+'[19]Перевод 2 этапа УД'!N45</f>
        <v>0</v>
      </c>
      <c r="O45" s="305">
        <f t="shared" si="4"/>
        <v>0</v>
      </c>
      <c r="P45" s="310">
        <v>0</v>
      </c>
      <c r="Q45" s="310">
        <f>'[19]Раз.пос.(Пр.2-24) '!Q45+'[19]Перевод ДН дети'!Q45+'[19]Перевод 2 этапа ДВН'!Q45+'[19]Перевод 2 этапа УД'!Q45</f>
        <v>0</v>
      </c>
      <c r="R45" s="310">
        <v>0</v>
      </c>
      <c r="S45" s="310">
        <f>'[19]Раз.пос.(Пр.2-24) '!S45+'[19]Перевод ДН дети'!S45+'[19]Перевод 2 этапа ДВН'!S45+'[19]Перевод 2 этапа УД'!S45</f>
        <v>0</v>
      </c>
    </row>
    <row r="46" spans="1:19" x14ac:dyDescent="0.2">
      <c r="A46" s="309">
        <v>36</v>
      </c>
      <c r="B46" s="222" t="s">
        <v>165</v>
      </c>
      <c r="C46" s="220" t="s">
        <v>166</v>
      </c>
      <c r="D46" s="305">
        <f t="shared" si="5"/>
        <v>15708</v>
      </c>
      <c r="E46" s="310">
        <f t="shared" si="2"/>
        <v>0</v>
      </c>
      <c r="F46" s="310">
        <v>0</v>
      </c>
      <c r="G46" s="310">
        <v>0</v>
      </c>
      <c r="H46" s="310">
        <f t="shared" si="3"/>
        <v>15708</v>
      </c>
      <c r="I46" s="336">
        <f>'[19]Раз.пос.(Пр.2-24) '!I46+'[19]Перевод ДН дети'!I46+'[19]Перевод 2 этапа ДВН'!I46+'[19]Перевод 2 этапа УД'!I46</f>
        <v>0</v>
      </c>
      <c r="J46" s="310">
        <v>2725</v>
      </c>
      <c r="K46" s="310">
        <v>5</v>
      </c>
      <c r="L46" s="310">
        <v>12978</v>
      </c>
      <c r="M46" s="310">
        <f>'[19]Раз.пос.(Пр.2-24) '!M46+'[19]Перевод ДН дети'!M46+'[19]Перевод 2 этапа ДВН'!M46+'[19]Перевод 2 этапа УД'!M46</f>
        <v>0</v>
      </c>
      <c r="N46" s="310">
        <f>'[19]Раз.пос.(Пр.2-24) '!N46+'[19]Перевод ДН дети'!N46+'[19]Перевод 2 этапа ДВН'!N46+'[19]Перевод 2 этапа УД'!N46</f>
        <v>0</v>
      </c>
      <c r="O46" s="305">
        <f t="shared" si="4"/>
        <v>0</v>
      </c>
      <c r="P46" s="310">
        <v>0</v>
      </c>
      <c r="Q46" s="310">
        <f>'[19]Раз.пос.(Пр.2-24) '!Q46+'[19]Перевод ДН дети'!Q46+'[19]Перевод 2 этапа ДВН'!Q46+'[19]Перевод 2 этапа УД'!Q46</f>
        <v>0</v>
      </c>
      <c r="R46" s="310">
        <v>0</v>
      </c>
      <c r="S46" s="310">
        <f>'[19]Раз.пос.(Пр.2-24) '!S46+'[19]Перевод ДН дети'!S46+'[19]Перевод 2 этапа ДВН'!S46+'[19]Перевод 2 этапа УД'!S46</f>
        <v>0</v>
      </c>
    </row>
    <row r="47" spans="1:19" x14ac:dyDescent="0.2">
      <c r="A47" s="309">
        <v>37</v>
      </c>
      <c r="B47" s="222" t="s">
        <v>86</v>
      </c>
      <c r="C47" s="220" t="s">
        <v>87</v>
      </c>
      <c r="D47" s="305">
        <f t="shared" si="5"/>
        <v>22158</v>
      </c>
      <c r="E47" s="310">
        <f t="shared" si="2"/>
        <v>0</v>
      </c>
      <c r="F47" s="310">
        <v>0</v>
      </c>
      <c r="G47" s="310">
        <v>0</v>
      </c>
      <c r="H47" s="310">
        <f t="shared" si="3"/>
        <v>20694</v>
      </c>
      <c r="I47" s="336">
        <f>'[19]Раз.пос.(Пр.2-24) '!I47+'[19]Перевод ДН дети'!I47+'[19]Перевод 2 этапа ДВН'!I47+'[19]Перевод 2 этапа УД'!I47</f>
        <v>0</v>
      </c>
      <c r="J47" s="310">
        <v>4461</v>
      </c>
      <c r="K47" s="310">
        <v>932</v>
      </c>
      <c r="L47" s="310">
        <v>15301</v>
      </c>
      <c r="M47" s="310">
        <f>'[19]Раз.пос.(Пр.2-24) '!M47+'[19]Перевод ДН дети'!M47+'[19]Перевод 2 этапа ДВН'!M47+'[19]Перевод 2 этапа УД'!M47</f>
        <v>1025</v>
      </c>
      <c r="N47" s="310">
        <f>'[19]Раз.пос.(Пр.2-24) '!N47+'[19]Перевод ДН дети'!N47+'[19]Перевод 2 этапа ДВН'!N47+'[19]Перевод 2 этапа УД'!N47</f>
        <v>439</v>
      </c>
      <c r="O47" s="305">
        <f t="shared" si="4"/>
        <v>0</v>
      </c>
      <c r="P47" s="310">
        <v>0</v>
      </c>
      <c r="Q47" s="310">
        <f>'[19]Раз.пос.(Пр.2-24) '!Q47+'[19]Перевод ДН дети'!Q47+'[19]Перевод 2 этапа ДВН'!Q47+'[19]Перевод 2 этапа УД'!Q47</f>
        <v>0</v>
      </c>
      <c r="R47" s="310">
        <v>0</v>
      </c>
      <c r="S47" s="310">
        <f>'[19]Раз.пос.(Пр.2-24) '!S47+'[19]Перевод ДН дети'!S47+'[19]Перевод 2 этапа ДВН'!S47+'[19]Перевод 2 этапа УД'!S47</f>
        <v>0</v>
      </c>
    </row>
    <row r="48" spans="1:19" x14ac:dyDescent="0.2">
      <c r="A48" s="309">
        <v>38</v>
      </c>
      <c r="B48" s="219" t="s">
        <v>167</v>
      </c>
      <c r="C48" s="220" t="s">
        <v>168</v>
      </c>
      <c r="D48" s="305">
        <f t="shared" si="5"/>
        <v>9331</v>
      </c>
      <c r="E48" s="310">
        <f t="shared" si="2"/>
        <v>0</v>
      </c>
      <c r="F48" s="310">
        <v>0</v>
      </c>
      <c r="G48" s="310">
        <v>0</v>
      </c>
      <c r="H48" s="310">
        <f t="shared" si="3"/>
        <v>9331</v>
      </c>
      <c r="I48" s="336">
        <f>'[19]Раз.пос.(Пр.2-24) '!I48+'[19]Перевод ДН дети'!I48+'[19]Перевод 2 этапа ДВН'!I48+'[19]Перевод 2 этапа УД'!I48</f>
        <v>0</v>
      </c>
      <c r="J48" s="310">
        <v>3210</v>
      </c>
      <c r="K48" s="310">
        <v>526</v>
      </c>
      <c r="L48" s="310">
        <v>5595</v>
      </c>
      <c r="M48" s="310">
        <f>'[19]Раз.пос.(Пр.2-24) '!M48+'[19]Перевод ДН дети'!M48+'[19]Перевод 2 этапа ДВН'!M48+'[19]Перевод 2 этапа УД'!M48</f>
        <v>0</v>
      </c>
      <c r="N48" s="310">
        <f>'[19]Раз.пос.(Пр.2-24) '!N48+'[19]Перевод ДН дети'!N48+'[19]Перевод 2 этапа ДВН'!N48+'[19]Перевод 2 этапа УД'!N48</f>
        <v>0</v>
      </c>
      <c r="O48" s="305">
        <f t="shared" si="4"/>
        <v>0</v>
      </c>
      <c r="P48" s="310">
        <v>0</v>
      </c>
      <c r="Q48" s="310">
        <f>'[19]Раз.пос.(Пр.2-24) '!Q48+'[19]Перевод ДН дети'!Q48+'[19]Перевод 2 этапа ДВН'!Q48+'[19]Перевод 2 этапа УД'!Q48</f>
        <v>0</v>
      </c>
      <c r="R48" s="310">
        <v>0</v>
      </c>
      <c r="S48" s="310">
        <f>'[19]Раз.пос.(Пр.2-24) '!S48+'[19]Перевод ДН дети'!S48+'[19]Перевод 2 этапа ДВН'!S48+'[19]Перевод 2 этапа УД'!S48</f>
        <v>0</v>
      </c>
    </row>
    <row r="49" spans="1:19" x14ac:dyDescent="0.2">
      <c r="A49" s="309">
        <v>39</v>
      </c>
      <c r="B49" s="224" t="s">
        <v>169</v>
      </c>
      <c r="C49" s="220" t="s">
        <v>170</v>
      </c>
      <c r="D49" s="305">
        <f t="shared" si="5"/>
        <v>16554</v>
      </c>
      <c r="E49" s="310">
        <f t="shared" si="2"/>
        <v>0</v>
      </c>
      <c r="F49" s="310">
        <v>0</v>
      </c>
      <c r="G49" s="310">
        <v>0</v>
      </c>
      <c r="H49" s="310">
        <f t="shared" si="3"/>
        <v>16554</v>
      </c>
      <c r="I49" s="336">
        <f>'[19]Раз.пос.(Пр.2-24) '!I49+'[19]Перевод ДН дети'!I49+'[19]Перевод 2 этапа ДВН'!I49+'[19]Перевод 2 этапа УД'!I49</f>
        <v>0</v>
      </c>
      <c r="J49" s="310">
        <v>2279</v>
      </c>
      <c r="K49" s="310">
        <v>16</v>
      </c>
      <c r="L49" s="310">
        <v>14259</v>
      </c>
      <c r="M49" s="310">
        <f>'[19]Раз.пос.(Пр.2-24) '!M49+'[19]Перевод ДН дети'!M49+'[19]Перевод 2 этапа ДВН'!M49+'[19]Перевод 2 этапа УД'!M49</f>
        <v>0</v>
      </c>
      <c r="N49" s="310">
        <f>'[19]Раз.пос.(Пр.2-24) '!N49+'[19]Перевод ДН дети'!N49+'[19]Перевод 2 этапа ДВН'!N49+'[19]Перевод 2 этапа УД'!N49</f>
        <v>0</v>
      </c>
      <c r="O49" s="305">
        <f t="shared" si="4"/>
        <v>0</v>
      </c>
      <c r="P49" s="310">
        <v>0</v>
      </c>
      <c r="Q49" s="310">
        <f>'[19]Раз.пос.(Пр.2-24) '!Q49+'[19]Перевод ДН дети'!Q49+'[19]Перевод 2 этапа ДВН'!Q49+'[19]Перевод 2 этапа УД'!Q49</f>
        <v>0</v>
      </c>
      <c r="R49" s="310">
        <v>0</v>
      </c>
      <c r="S49" s="310">
        <f>'[19]Раз.пос.(Пр.2-24) '!S49+'[19]Перевод ДН дети'!S49+'[19]Перевод 2 этапа ДВН'!S49+'[19]Перевод 2 этапа УД'!S49</f>
        <v>0</v>
      </c>
    </row>
    <row r="50" spans="1:19" x14ac:dyDescent="0.2">
      <c r="A50" s="309">
        <v>40</v>
      </c>
      <c r="B50" s="219" t="s">
        <v>171</v>
      </c>
      <c r="C50" s="220" t="s">
        <v>172</v>
      </c>
      <c r="D50" s="305">
        <f t="shared" si="5"/>
        <v>101184</v>
      </c>
      <c r="E50" s="310">
        <f t="shared" si="2"/>
        <v>0</v>
      </c>
      <c r="F50" s="310">
        <v>0</v>
      </c>
      <c r="G50" s="310">
        <v>0</v>
      </c>
      <c r="H50" s="310">
        <f t="shared" si="3"/>
        <v>97785</v>
      </c>
      <c r="I50" s="336">
        <f>'[19]Раз.пос.(Пр.2-24) '!I50+'[19]Перевод ДН дети'!I50+'[19]Перевод 2 этапа ДВН'!I50+'[19]Перевод 2 этапа УД'!I50</f>
        <v>0</v>
      </c>
      <c r="J50" s="310">
        <v>18724</v>
      </c>
      <c r="K50" s="310">
        <v>1779</v>
      </c>
      <c r="L50" s="310">
        <v>77282</v>
      </c>
      <c r="M50" s="310">
        <f>'[19]Раз.пос.(Пр.2-24) '!M50+'[19]Перевод ДН дети'!M50+'[19]Перевод 2 этапа ДВН'!M50+'[19]Перевод 2 этапа УД'!M50</f>
        <v>1025</v>
      </c>
      <c r="N50" s="310">
        <f>'[19]Раз.пос.(Пр.2-24) '!N50+'[19]Перевод ДН дети'!N50+'[19]Перевод 2 этапа ДВН'!N50+'[19]Перевод 2 этапа УД'!N50</f>
        <v>439</v>
      </c>
      <c r="O50" s="305">
        <f t="shared" si="4"/>
        <v>1935</v>
      </c>
      <c r="P50" s="310">
        <v>0</v>
      </c>
      <c r="Q50" s="310">
        <f>'[19]Раз.пос.(Пр.2-24) '!Q50+'[19]Перевод ДН дети'!Q50+'[19]Перевод 2 этапа ДВН'!Q50+'[19]Перевод 2 этапа УД'!Q50</f>
        <v>0</v>
      </c>
      <c r="R50" s="310">
        <v>1935</v>
      </c>
      <c r="S50" s="310">
        <f>'[19]Раз.пос.(Пр.2-24) '!S50+'[19]Перевод ДН дети'!S50+'[19]Перевод 2 этапа ДВН'!S50+'[19]Перевод 2 этапа УД'!S50</f>
        <v>0</v>
      </c>
    </row>
    <row r="51" spans="1:19" x14ac:dyDescent="0.2">
      <c r="A51" s="309">
        <v>41</v>
      </c>
      <c r="B51" s="222" t="s">
        <v>78</v>
      </c>
      <c r="C51" s="220" t="s">
        <v>79</v>
      </c>
      <c r="D51" s="305">
        <f t="shared" si="5"/>
        <v>21210</v>
      </c>
      <c r="E51" s="310">
        <f t="shared" si="2"/>
        <v>0</v>
      </c>
      <c r="F51" s="310">
        <v>0</v>
      </c>
      <c r="G51" s="310">
        <v>0</v>
      </c>
      <c r="H51" s="310">
        <f t="shared" si="3"/>
        <v>21210</v>
      </c>
      <c r="I51" s="336">
        <f>'[19]Раз.пос.(Пр.2-24) '!I51+'[19]Перевод ДН дети'!I51+'[19]Перевод 2 этапа ДВН'!I51+'[19]Перевод 2 этапа УД'!I51</f>
        <v>0</v>
      </c>
      <c r="J51" s="310">
        <v>3767</v>
      </c>
      <c r="K51" s="310">
        <v>960</v>
      </c>
      <c r="L51" s="310">
        <v>16483</v>
      </c>
      <c r="M51" s="310">
        <f>'[19]Раз.пос.(Пр.2-24) '!M51+'[19]Перевод ДН дети'!M51+'[19]Перевод 2 этапа ДВН'!M51+'[19]Перевод 2 этапа УД'!M51</f>
        <v>0</v>
      </c>
      <c r="N51" s="310">
        <f>'[19]Раз.пос.(Пр.2-24) '!N51+'[19]Перевод ДН дети'!N51+'[19]Перевод 2 этапа ДВН'!N51+'[19]Перевод 2 этапа УД'!N51</f>
        <v>0</v>
      </c>
      <c r="O51" s="305">
        <f t="shared" si="4"/>
        <v>0</v>
      </c>
      <c r="P51" s="310">
        <v>0</v>
      </c>
      <c r="Q51" s="310">
        <f>'[19]Раз.пос.(Пр.2-24) '!Q51+'[19]Перевод ДН дети'!Q51+'[19]Перевод 2 этапа ДВН'!Q51+'[19]Перевод 2 этапа УД'!Q51</f>
        <v>0</v>
      </c>
      <c r="R51" s="310">
        <v>0</v>
      </c>
      <c r="S51" s="310">
        <f>'[19]Раз.пос.(Пр.2-24) '!S51+'[19]Перевод ДН дети'!S51+'[19]Перевод 2 этапа ДВН'!S51+'[19]Перевод 2 этапа УД'!S51</f>
        <v>0</v>
      </c>
    </row>
    <row r="52" spans="1:19" x14ac:dyDescent="0.2">
      <c r="A52" s="309">
        <v>42</v>
      </c>
      <c r="B52" s="222" t="s">
        <v>173</v>
      </c>
      <c r="C52" s="220" t="s">
        <v>174</v>
      </c>
      <c r="D52" s="305">
        <f t="shared" si="5"/>
        <v>73519</v>
      </c>
      <c r="E52" s="310">
        <f t="shared" si="2"/>
        <v>0</v>
      </c>
      <c r="F52" s="310">
        <v>0</v>
      </c>
      <c r="G52" s="310">
        <v>0</v>
      </c>
      <c r="H52" s="310">
        <f t="shared" si="3"/>
        <v>72012</v>
      </c>
      <c r="I52" s="336">
        <f>'[19]Раз.пос.(Пр.2-24) '!I52+'[19]Перевод ДН дети'!I52+'[19]Перевод 2 этапа ДВН'!I52+'[19]Перевод 2 этапа УД'!I52</f>
        <v>0</v>
      </c>
      <c r="J52" s="310">
        <v>15645</v>
      </c>
      <c r="K52" s="310">
        <v>3100</v>
      </c>
      <c r="L52" s="310">
        <v>53267</v>
      </c>
      <c r="M52" s="310">
        <f>'[19]Раз.пос.(Пр.2-24) '!M52+'[19]Перевод ДН дети'!M52+'[19]Перевод 2 этапа ДВН'!M52+'[19]Перевод 2 этапа УД'!M52</f>
        <v>1025</v>
      </c>
      <c r="N52" s="310">
        <f>'[19]Раз.пос.(Пр.2-24) '!N52+'[19]Перевод ДН дети'!N52+'[19]Перевод 2 этапа ДВН'!N52+'[19]Перевод 2 этапа УД'!N52</f>
        <v>439</v>
      </c>
      <c r="O52" s="305">
        <f t="shared" si="4"/>
        <v>43</v>
      </c>
      <c r="P52" s="310">
        <v>0</v>
      </c>
      <c r="Q52" s="310">
        <f>'[19]Раз.пос.(Пр.2-24) '!Q52+'[19]Перевод ДН дети'!Q52+'[19]Перевод 2 этапа ДВН'!Q52+'[19]Перевод 2 этапа УД'!Q52</f>
        <v>0</v>
      </c>
      <c r="R52" s="310">
        <v>43</v>
      </c>
      <c r="S52" s="310">
        <f>'[19]Раз.пос.(Пр.2-24) '!S52+'[19]Перевод ДН дети'!S52+'[19]Перевод 2 этапа ДВН'!S52+'[19]Перевод 2 этапа УД'!S52</f>
        <v>0</v>
      </c>
    </row>
    <row r="53" spans="1:19" x14ac:dyDescent="0.2">
      <c r="A53" s="309">
        <v>43</v>
      </c>
      <c r="B53" s="219" t="s">
        <v>175</v>
      </c>
      <c r="C53" s="220" t="s">
        <v>176</v>
      </c>
      <c r="D53" s="305">
        <f t="shared" si="5"/>
        <v>14437</v>
      </c>
      <c r="E53" s="310">
        <f t="shared" si="2"/>
        <v>0</v>
      </c>
      <c r="F53" s="310">
        <v>0</v>
      </c>
      <c r="G53" s="310">
        <v>0</v>
      </c>
      <c r="H53" s="310">
        <f t="shared" si="3"/>
        <v>14437</v>
      </c>
      <c r="I53" s="336">
        <f>'[19]Раз.пос.(Пр.2-24) '!I53+'[19]Перевод ДН дети'!I53+'[19]Перевод 2 этапа ДВН'!I53+'[19]Перевод 2 этапа УД'!I53</f>
        <v>0</v>
      </c>
      <c r="J53" s="310">
        <v>2859</v>
      </c>
      <c r="K53" s="310">
        <v>700</v>
      </c>
      <c r="L53" s="310">
        <v>10878</v>
      </c>
      <c r="M53" s="310">
        <f>'[19]Раз.пос.(Пр.2-24) '!M53+'[19]Перевод ДН дети'!M53+'[19]Перевод 2 этапа ДВН'!M53+'[19]Перевод 2 этапа УД'!M53</f>
        <v>0</v>
      </c>
      <c r="N53" s="310">
        <f>'[19]Раз.пос.(Пр.2-24) '!N53+'[19]Перевод ДН дети'!N53+'[19]Перевод 2 этапа ДВН'!N53+'[19]Перевод 2 этапа УД'!N53</f>
        <v>0</v>
      </c>
      <c r="O53" s="305">
        <f t="shared" si="4"/>
        <v>0</v>
      </c>
      <c r="P53" s="310">
        <v>0</v>
      </c>
      <c r="Q53" s="310">
        <f>'[19]Раз.пос.(Пр.2-24) '!Q53+'[19]Перевод ДН дети'!Q53+'[19]Перевод 2 этапа ДВН'!Q53+'[19]Перевод 2 этапа УД'!Q53</f>
        <v>0</v>
      </c>
      <c r="R53" s="310">
        <v>0</v>
      </c>
      <c r="S53" s="310">
        <f>'[19]Раз.пос.(Пр.2-24) '!S53+'[19]Перевод ДН дети'!S53+'[19]Перевод 2 этапа ДВН'!S53+'[19]Перевод 2 этапа УД'!S53</f>
        <v>0</v>
      </c>
    </row>
    <row r="54" spans="1:19" x14ac:dyDescent="0.2">
      <c r="A54" s="309">
        <v>44</v>
      </c>
      <c r="B54" s="219" t="s">
        <v>42</v>
      </c>
      <c r="C54" s="220" t="s">
        <v>43</v>
      </c>
      <c r="D54" s="305">
        <f t="shared" si="5"/>
        <v>18956</v>
      </c>
      <c r="E54" s="310">
        <f t="shared" si="2"/>
        <v>0</v>
      </c>
      <c r="F54" s="310">
        <v>0</v>
      </c>
      <c r="G54" s="310">
        <v>0</v>
      </c>
      <c r="H54" s="310">
        <f t="shared" si="3"/>
        <v>17492</v>
      </c>
      <c r="I54" s="336">
        <f>'[19]Раз.пос.(Пр.2-24) '!I54+'[19]Перевод ДН дети'!I54+'[19]Перевод 2 этапа ДВН'!I54+'[19]Перевод 2 этапа УД'!I54</f>
        <v>0</v>
      </c>
      <c r="J54" s="310">
        <v>4467</v>
      </c>
      <c r="K54" s="310">
        <v>4866</v>
      </c>
      <c r="L54" s="310">
        <v>8159</v>
      </c>
      <c r="M54" s="310">
        <f>'[19]Раз.пос.(Пр.2-24) '!M54+'[19]Перевод ДН дети'!M54+'[19]Перевод 2 этапа ДВН'!M54+'[19]Перевод 2 этапа УД'!M54</f>
        <v>1025</v>
      </c>
      <c r="N54" s="310">
        <f>'[19]Раз.пос.(Пр.2-24) '!N54+'[19]Перевод ДН дети'!N54+'[19]Перевод 2 этапа ДВН'!N54+'[19]Перевод 2 этапа УД'!N54</f>
        <v>439</v>
      </c>
      <c r="O54" s="305">
        <f t="shared" si="4"/>
        <v>0</v>
      </c>
      <c r="P54" s="310">
        <v>0</v>
      </c>
      <c r="Q54" s="310">
        <f>'[19]Раз.пос.(Пр.2-24) '!Q54+'[19]Перевод ДН дети'!Q54+'[19]Перевод 2 этапа ДВН'!Q54+'[19]Перевод 2 этапа УД'!Q54</f>
        <v>0</v>
      </c>
      <c r="R54" s="310">
        <v>0</v>
      </c>
      <c r="S54" s="310">
        <f>'[19]Раз.пос.(Пр.2-24) '!S54+'[19]Перевод ДН дети'!S54+'[19]Перевод 2 этапа ДВН'!S54+'[19]Перевод 2 этапа УД'!S54</f>
        <v>0</v>
      </c>
    </row>
    <row r="55" spans="1:19" x14ac:dyDescent="0.2">
      <c r="A55" s="309">
        <v>45</v>
      </c>
      <c r="B55" s="224" t="s">
        <v>177</v>
      </c>
      <c r="C55" s="220" t="s">
        <v>178</v>
      </c>
      <c r="D55" s="305">
        <f t="shared" si="5"/>
        <v>34167</v>
      </c>
      <c r="E55" s="310">
        <f t="shared" si="2"/>
        <v>0</v>
      </c>
      <c r="F55" s="310">
        <v>0</v>
      </c>
      <c r="G55" s="310">
        <v>0</v>
      </c>
      <c r="H55" s="310">
        <f t="shared" si="3"/>
        <v>32703</v>
      </c>
      <c r="I55" s="336">
        <f>'[19]Раз.пос.(Пр.2-24) '!I55+'[19]Перевод ДН дети'!I55+'[19]Перевод 2 этапа ДВН'!I55+'[19]Перевод 2 этапа УД'!I55</f>
        <v>0</v>
      </c>
      <c r="J55" s="310">
        <v>8838</v>
      </c>
      <c r="K55" s="310">
        <v>3318</v>
      </c>
      <c r="L55" s="310">
        <v>20547</v>
      </c>
      <c r="M55" s="310">
        <f>'[19]Раз.пос.(Пр.2-24) '!M55+'[19]Перевод ДН дети'!M55+'[19]Перевод 2 этапа ДВН'!M55+'[19]Перевод 2 этапа УД'!M55</f>
        <v>1025</v>
      </c>
      <c r="N55" s="310">
        <f>'[19]Раз.пос.(Пр.2-24) '!N55+'[19]Перевод ДН дети'!N55+'[19]Перевод 2 этапа ДВН'!N55+'[19]Перевод 2 этапа УД'!N55</f>
        <v>439</v>
      </c>
      <c r="O55" s="305">
        <f t="shared" si="4"/>
        <v>0</v>
      </c>
      <c r="P55" s="310">
        <v>0</v>
      </c>
      <c r="Q55" s="310">
        <f>'[19]Раз.пос.(Пр.2-24) '!Q55+'[19]Перевод ДН дети'!Q55+'[19]Перевод 2 этапа ДВН'!Q55+'[19]Перевод 2 этапа УД'!Q55</f>
        <v>0</v>
      </c>
      <c r="R55" s="310">
        <v>0</v>
      </c>
      <c r="S55" s="310">
        <f>'[19]Раз.пос.(Пр.2-24) '!S55+'[19]Перевод ДН дети'!S55+'[19]Перевод 2 этапа ДВН'!S55+'[19]Перевод 2 этапа УД'!S55</f>
        <v>0</v>
      </c>
    </row>
    <row r="56" spans="1:19" x14ac:dyDescent="0.2">
      <c r="A56" s="309">
        <v>46</v>
      </c>
      <c r="B56" s="219" t="s">
        <v>179</v>
      </c>
      <c r="C56" s="220" t="s">
        <v>180</v>
      </c>
      <c r="D56" s="305">
        <f t="shared" si="5"/>
        <v>8211</v>
      </c>
      <c r="E56" s="310">
        <f t="shared" si="2"/>
        <v>0</v>
      </c>
      <c r="F56" s="310">
        <v>0</v>
      </c>
      <c r="G56" s="310">
        <v>0</v>
      </c>
      <c r="H56" s="310">
        <f t="shared" si="3"/>
        <v>8211</v>
      </c>
      <c r="I56" s="336">
        <f>'[19]Раз.пос.(Пр.2-24) '!I56+'[19]Перевод ДН дети'!I56+'[19]Перевод 2 этапа ДВН'!I56+'[19]Перевод 2 этапа УД'!I56</f>
        <v>0</v>
      </c>
      <c r="J56" s="310">
        <v>1612</v>
      </c>
      <c r="K56" s="310">
        <v>882</v>
      </c>
      <c r="L56" s="310">
        <v>5717</v>
      </c>
      <c r="M56" s="310">
        <f>'[19]Раз.пос.(Пр.2-24) '!M56+'[19]Перевод ДН дети'!M56+'[19]Перевод 2 этапа ДВН'!M56+'[19]Перевод 2 этапа УД'!M56</f>
        <v>0</v>
      </c>
      <c r="N56" s="310">
        <f>'[19]Раз.пос.(Пр.2-24) '!N56+'[19]Перевод ДН дети'!N56+'[19]Перевод 2 этапа ДВН'!N56+'[19]Перевод 2 этапа УД'!N56</f>
        <v>0</v>
      </c>
      <c r="O56" s="305">
        <f t="shared" si="4"/>
        <v>0</v>
      </c>
      <c r="P56" s="310">
        <v>0</v>
      </c>
      <c r="Q56" s="310">
        <f>'[19]Раз.пос.(Пр.2-24) '!Q56+'[19]Перевод ДН дети'!Q56+'[19]Перевод 2 этапа ДВН'!Q56+'[19]Перевод 2 этапа УД'!Q56</f>
        <v>0</v>
      </c>
      <c r="R56" s="310">
        <v>0</v>
      </c>
      <c r="S56" s="310">
        <f>'[19]Раз.пос.(Пр.2-24) '!S56+'[19]Перевод ДН дети'!S56+'[19]Перевод 2 этапа ДВН'!S56+'[19]Перевод 2 этапа УД'!S56</f>
        <v>0</v>
      </c>
    </row>
    <row r="57" spans="1:19" x14ac:dyDescent="0.2">
      <c r="A57" s="309">
        <v>47</v>
      </c>
      <c r="B57" s="224" t="s">
        <v>181</v>
      </c>
      <c r="C57" s="220" t="s">
        <v>182</v>
      </c>
      <c r="D57" s="305">
        <f t="shared" si="5"/>
        <v>18087</v>
      </c>
      <c r="E57" s="310">
        <f t="shared" si="2"/>
        <v>0</v>
      </c>
      <c r="F57" s="310">
        <v>0</v>
      </c>
      <c r="G57" s="310">
        <v>0</v>
      </c>
      <c r="H57" s="310">
        <f t="shared" si="3"/>
        <v>16623</v>
      </c>
      <c r="I57" s="336">
        <f>'[19]Раз.пос.(Пр.2-24) '!I57+'[19]Перевод ДН дети'!I57+'[19]Перевод 2 этапа ДВН'!I57+'[19]Перевод 2 этапа УД'!I57</f>
        <v>0</v>
      </c>
      <c r="J57" s="310">
        <v>4379</v>
      </c>
      <c r="K57" s="310">
        <v>0</v>
      </c>
      <c r="L57" s="310">
        <v>12244</v>
      </c>
      <c r="M57" s="310">
        <f>'[19]Раз.пос.(Пр.2-24) '!M57+'[19]Перевод ДН дети'!M57+'[19]Перевод 2 этапа ДВН'!M57+'[19]Перевод 2 этапа УД'!M57</f>
        <v>1025</v>
      </c>
      <c r="N57" s="310">
        <f>'[19]Раз.пос.(Пр.2-24) '!N57+'[19]Перевод ДН дети'!N57+'[19]Перевод 2 этапа ДВН'!N57+'[19]Перевод 2 этапа УД'!N57</f>
        <v>439</v>
      </c>
      <c r="O57" s="305">
        <f t="shared" si="4"/>
        <v>0</v>
      </c>
      <c r="P57" s="310">
        <v>0</v>
      </c>
      <c r="Q57" s="310">
        <f>'[19]Раз.пос.(Пр.2-24) '!Q57+'[19]Перевод ДН дети'!Q57+'[19]Перевод 2 этапа ДВН'!Q57+'[19]Перевод 2 этапа УД'!Q57</f>
        <v>0</v>
      </c>
      <c r="R57" s="310">
        <v>0</v>
      </c>
      <c r="S57" s="310">
        <f>'[19]Раз.пос.(Пр.2-24) '!S57+'[19]Перевод ДН дети'!S57+'[19]Перевод 2 этапа ДВН'!S57+'[19]Перевод 2 этапа УД'!S57</f>
        <v>0</v>
      </c>
    </row>
    <row r="58" spans="1:19" x14ac:dyDescent="0.2">
      <c r="A58" s="309">
        <v>48</v>
      </c>
      <c r="B58" s="219" t="s">
        <v>183</v>
      </c>
      <c r="C58" s="220" t="s">
        <v>184</v>
      </c>
      <c r="D58" s="305">
        <f t="shared" si="5"/>
        <v>21805</v>
      </c>
      <c r="E58" s="310">
        <f t="shared" si="2"/>
        <v>0</v>
      </c>
      <c r="F58" s="310">
        <v>0</v>
      </c>
      <c r="G58" s="310">
        <v>0</v>
      </c>
      <c r="H58" s="310">
        <f t="shared" si="3"/>
        <v>21805</v>
      </c>
      <c r="I58" s="336">
        <f>'[19]Раз.пос.(Пр.2-24) '!I58+'[19]Перевод ДН дети'!I58+'[19]Перевод 2 этапа ДВН'!I58+'[19]Перевод 2 этапа УД'!I58</f>
        <v>0</v>
      </c>
      <c r="J58" s="310">
        <v>7417</v>
      </c>
      <c r="K58" s="310">
        <v>550</v>
      </c>
      <c r="L58" s="310">
        <v>13838</v>
      </c>
      <c r="M58" s="310">
        <f>'[19]Раз.пос.(Пр.2-24) '!M58+'[19]Перевод ДН дети'!M58+'[19]Перевод 2 этапа ДВН'!M58+'[19]Перевод 2 этапа УД'!M58</f>
        <v>0</v>
      </c>
      <c r="N58" s="310">
        <f>'[19]Раз.пос.(Пр.2-24) '!N58+'[19]Перевод ДН дети'!N58+'[19]Перевод 2 этапа ДВН'!N58+'[19]Перевод 2 этапа УД'!N58</f>
        <v>0</v>
      </c>
      <c r="O58" s="305">
        <f t="shared" si="4"/>
        <v>0</v>
      </c>
      <c r="P58" s="310">
        <v>0</v>
      </c>
      <c r="Q58" s="310">
        <f>'[19]Раз.пос.(Пр.2-24) '!Q58+'[19]Перевод ДН дети'!Q58+'[19]Перевод 2 этапа ДВН'!Q58+'[19]Перевод 2 этапа УД'!Q58</f>
        <v>0</v>
      </c>
      <c r="R58" s="310">
        <v>0</v>
      </c>
      <c r="S58" s="310">
        <f>'[19]Раз.пос.(Пр.2-24) '!S58+'[19]Перевод ДН дети'!S58+'[19]Перевод 2 этапа ДВН'!S58+'[19]Перевод 2 этапа УД'!S58</f>
        <v>0</v>
      </c>
    </row>
    <row r="59" spans="1:19" x14ac:dyDescent="0.2">
      <c r="A59" s="309">
        <v>49</v>
      </c>
      <c r="B59" s="219" t="s">
        <v>185</v>
      </c>
      <c r="C59" s="220" t="s">
        <v>186</v>
      </c>
      <c r="D59" s="305">
        <f t="shared" si="5"/>
        <v>102540</v>
      </c>
      <c r="E59" s="310">
        <f t="shared" si="2"/>
        <v>0</v>
      </c>
      <c r="F59" s="310">
        <v>0</v>
      </c>
      <c r="G59" s="310">
        <v>0</v>
      </c>
      <c r="H59" s="310">
        <f t="shared" si="3"/>
        <v>100182</v>
      </c>
      <c r="I59" s="336">
        <f>'[19]Раз.пос.(Пр.2-24) '!I59+'[19]Перевод ДН дети'!I59+'[19]Перевод 2 этапа ДВН'!I59+'[19]Перевод 2 этапа УД'!I59</f>
        <v>50</v>
      </c>
      <c r="J59" s="310">
        <v>36177</v>
      </c>
      <c r="K59" s="310">
        <v>3077</v>
      </c>
      <c r="L59" s="310">
        <v>60878</v>
      </c>
      <c r="M59" s="310">
        <f>'[19]Раз.пос.(Пр.2-24) '!M59+'[19]Перевод ДН дети'!M59+'[19]Перевод 2 этапа ДВН'!M59+'[19]Перевод 2 этапа УД'!M59</f>
        <v>1025</v>
      </c>
      <c r="N59" s="310">
        <f>'[19]Раз.пос.(Пр.2-24) '!N59+'[19]Перевод ДН дети'!N59+'[19]Перевод 2 этапа ДВН'!N59+'[19]Перевод 2 этапа УД'!N59</f>
        <v>439</v>
      </c>
      <c r="O59" s="305">
        <f t="shared" si="4"/>
        <v>894</v>
      </c>
      <c r="P59" s="310">
        <v>0</v>
      </c>
      <c r="Q59" s="310">
        <f>'[19]Раз.пос.(Пр.2-24) '!Q59+'[19]Перевод ДН дети'!Q59+'[19]Перевод 2 этапа ДВН'!Q59+'[19]Перевод 2 этапа УД'!Q59</f>
        <v>0</v>
      </c>
      <c r="R59" s="310">
        <v>894</v>
      </c>
      <c r="S59" s="310">
        <f>'[19]Раз.пос.(Пр.2-24) '!S59+'[19]Перевод ДН дети'!S59+'[19]Перевод 2 этапа ДВН'!S59+'[19]Перевод 2 этапа УД'!S59</f>
        <v>0</v>
      </c>
    </row>
    <row r="60" spans="1:19" x14ac:dyDescent="0.2">
      <c r="A60" s="309">
        <v>50</v>
      </c>
      <c r="B60" s="219" t="s">
        <v>187</v>
      </c>
      <c r="C60" s="220" t="s">
        <v>188</v>
      </c>
      <c r="D60" s="305">
        <f t="shared" si="5"/>
        <v>11383</v>
      </c>
      <c r="E60" s="310">
        <f t="shared" si="2"/>
        <v>0</v>
      </c>
      <c r="F60" s="310">
        <v>0</v>
      </c>
      <c r="G60" s="310">
        <v>0</v>
      </c>
      <c r="H60" s="310">
        <f t="shared" si="3"/>
        <v>9919</v>
      </c>
      <c r="I60" s="336">
        <f>'[19]Раз.пос.(Пр.2-24) '!I60+'[19]Перевод ДН дети'!I60+'[19]Перевод 2 этапа ДВН'!I60+'[19]Перевод 2 этапа УД'!I60</f>
        <v>0</v>
      </c>
      <c r="J60" s="310">
        <v>3811</v>
      </c>
      <c r="K60" s="310">
        <v>1206</v>
      </c>
      <c r="L60" s="310">
        <v>4902</v>
      </c>
      <c r="M60" s="310">
        <f>'[19]Раз.пос.(Пр.2-24) '!M60+'[19]Перевод ДН дети'!M60+'[19]Перевод 2 этапа ДВН'!M60+'[19]Перевод 2 этапа УД'!M60</f>
        <v>1025</v>
      </c>
      <c r="N60" s="310">
        <f>'[19]Раз.пос.(Пр.2-24) '!N60+'[19]Перевод ДН дети'!N60+'[19]Перевод 2 этапа ДВН'!N60+'[19]Перевод 2 этапа УД'!N60</f>
        <v>439</v>
      </c>
      <c r="O60" s="305">
        <f t="shared" si="4"/>
        <v>0</v>
      </c>
      <c r="P60" s="310">
        <v>0</v>
      </c>
      <c r="Q60" s="310">
        <f>'[19]Раз.пос.(Пр.2-24) '!Q60+'[19]Перевод ДН дети'!Q60+'[19]Перевод 2 этапа ДВН'!Q60+'[19]Перевод 2 этапа УД'!Q60</f>
        <v>0</v>
      </c>
      <c r="R60" s="310">
        <v>0</v>
      </c>
      <c r="S60" s="310">
        <f>'[19]Раз.пос.(Пр.2-24) '!S60+'[19]Перевод ДН дети'!S60+'[19]Перевод 2 этапа ДВН'!S60+'[19]Перевод 2 этапа УД'!S60</f>
        <v>0</v>
      </c>
    </row>
    <row r="61" spans="1:19" x14ac:dyDescent="0.2">
      <c r="A61" s="309">
        <v>51</v>
      </c>
      <c r="B61" s="219" t="s">
        <v>189</v>
      </c>
      <c r="C61" s="220" t="s">
        <v>190</v>
      </c>
      <c r="D61" s="305">
        <f t="shared" si="5"/>
        <v>0</v>
      </c>
      <c r="E61" s="310">
        <f t="shared" si="2"/>
        <v>0</v>
      </c>
      <c r="F61" s="310">
        <v>0</v>
      </c>
      <c r="G61" s="310">
        <v>0</v>
      </c>
      <c r="H61" s="310">
        <f t="shared" si="3"/>
        <v>0</v>
      </c>
      <c r="I61" s="336">
        <f>'[19]Раз.пос.(Пр.2-24) '!I61+'[19]Перевод ДН дети'!I61+'[19]Перевод 2 этапа ДВН'!I61+'[19]Перевод 2 этапа УД'!I61</f>
        <v>0</v>
      </c>
      <c r="J61" s="310">
        <v>0</v>
      </c>
      <c r="K61" s="310">
        <v>0</v>
      </c>
      <c r="L61" s="310">
        <v>0</v>
      </c>
      <c r="M61" s="310">
        <f>'[19]Раз.пос.(Пр.2-24) '!M61+'[19]Перевод ДН дети'!M61+'[19]Перевод 2 этапа ДВН'!M61+'[19]Перевод 2 этапа УД'!M61</f>
        <v>0</v>
      </c>
      <c r="N61" s="310">
        <f>'[19]Раз.пос.(Пр.2-24) '!N61+'[19]Перевод ДН дети'!N61+'[19]Перевод 2 этапа ДВН'!N61+'[19]Перевод 2 этапа УД'!N61</f>
        <v>0</v>
      </c>
      <c r="O61" s="305">
        <f t="shared" si="4"/>
        <v>0</v>
      </c>
      <c r="P61" s="310">
        <v>0</v>
      </c>
      <c r="Q61" s="310">
        <f>'[19]Раз.пос.(Пр.2-24) '!Q61+'[19]Перевод ДН дети'!Q61+'[19]Перевод 2 этапа ДВН'!Q61+'[19]Перевод 2 этапа УД'!Q61</f>
        <v>0</v>
      </c>
      <c r="R61" s="310">
        <v>0</v>
      </c>
      <c r="S61" s="310">
        <f>'[19]Раз.пос.(Пр.2-24) '!S61+'[19]Перевод ДН дети'!S61+'[19]Перевод 2 этапа ДВН'!S61+'[19]Перевод 2 этапа УД'!S61</f>
        <v>0</v>
      </c>
    </row>
    <row r="62" spans="1:19" x14ac:dyDescent="0.2">
      <c r="A62" s="309">
        <v>52</v>
      </c>
      <c r="B62" s="219" t="s">
        <v>191</v>
      </c>
      <c r="C62" s="220" t="s">
        <v>192</v>
      </c>
      <c r="D62" s="305">
        <f t="shared" si="5"/>
        <v>0</v>
      </c>
      <c r="E62" s="310">
        <f t="shared" si="2"/>
        <v>0</v>
      </c>
      <c r="F62" s="310">
        <v>0</v>
      </c>
      <c r="G62" s="310">
        <v>0</v>
      </c>
      <c r="H62" s="310">
        <f t="shared" si="3"/>
        <v>0</v>
      </c>
      <c r="I62" s="336">
        <f>'[19]Раз.пос.(Пр.2-24) '!I62+'[19]Перевод ДН дети'!I62+'[19]Перевод 2 этапа ДВН'!I62+'[19]Перевод 2 этапа УД'!I62</f>
        <v>0</v>
      </c>
      <c r="J62" s="310">
        <v>0</v>
      </c>
      <c r="K62" s="310">
        <v>0</v>
      </c>
      <c r="L62" s="310">
        <v>0</v>
      </c>
      <c r="M62" s="310">
        <f>'[19]Раз.пос.(Пр.2-24) '!M62+'[19]Перевод ДН дети'!M62+'[19]Перевод 2 этапа ДВН'!M62+'[19]Перевод 2 этапа УД'!M62</f>
        <v>0</v>
      </c>
      <c r="N62" s="310">
        <f>'[19]Раз.пос.(Пр.2-24) '!N62+'[19]Перевод ДН дети'!N62+'[19]Перевод 2 этапа ДВН'!N62+'[19]Перевод 2 этапа УД'!N62</f>
        <v>0</v>
      </c>
      <c r="O62" s="305">
        <f t="shared" si="4"/>
        <v>0</v>
      </c>
      <c r="P62" s="310">
        <v>0</v>
      </c>
      <c r="Q62" s="310">
        <f>'[19]Раз.пос.(Пр.2-24) '!Q62+'[19]Перевод ДН дети'!Q62+'[19]Перевод 2 этапа ДВН'!Q62+'[19]Перевод 2 этапа УД'!Q62</f>
        <v>0</v>
      </c>
      <c r="R62" s="310">
        <v>0</v>
      </c>
      <c r="S62" s="310">
        <f>'[19]Раз.пос.(Пр.2-24) '!S62+'[19]Перевод ДН дети'!S62+'[19]Перевод 2 этапа ДВН'!S62+'[19]Перевод 2 этапа УД'!S62</f>
        <v>0</v>
      </c>
    </row>
    <row r="63" spans="1:19" x14ac:dyDescent="0.2">
      <c r="A63" s="309">
        <v>53</v>
      </c>
      <c r="B63" s="219" t="s">
        <v>22</v>
      </c>
      <c r="C63" s="220" t="s">
        <v>23</v>
      </c>
      <c r="D63" s="305">
        <f t="shared" si="5"/>
        <v>75809</v>
      </c>
      <c r="E63" s="310">
        <f t="shared" si="2"/>
        <v>0</v>
      </c>
      <c r="F63" s="310">
        <v>0</v>
      </c>
      <c r="G63" s="310">
        <v>0</v>
      </c>
      <c r="H63" s="310">
        <f t="shared" si="3"/>
        <v>73951</v>
      </c>
      <c r="I63" s="336">
        <f>'[19]Раз.пос.(Пр.2-24) '!I63+'[19]Перевод ДН дети'!I63+'[19]Перевод 2 этапа ДВН'!I63+'[19]Перевод 2 этапа УД'!I63</f>
        <v>0</v>
      </c>
      <c r="J63" s="310">
        <v>4771</v>
      </c>
      <c r="K63" s="310">
        <v>0</v>
      </c>
      <c r="L63" s="310">
        <v>69180</v>
      </c>
      <c r="M63" s="310">
        <f>'[19]Раз.пос.(Пр.2-24) '!M63+'[19]Перевод ДН дети'!M63+'[19]Перевод 2 этапа ДВН'!M63+'[19]Перевод 2 этапа УД'!M63</f>
        <v>0</v>
      </c>
      <c r="N63" s="310">
        <f>'[19]Раз.пос.(Пр.2-24) '!N63+'[19]Перевод ДН дети'!N63+'[19]Перевод 2 этапа ДВН'!N63+'[19]Перевод 2 этапа УД'!N63</f>
        <v>0</v>
      </c>
      <c r="O63" s="305">
        <f t="shared" si="4"/>
        <v>1858</v>
      </c>
      <c r="P63" s="310">
        <v>0</v>
      </c>
      <c r="Q63" s="310">
        <f>'[19]Раз.пос.(Пр.2-24) '!Q63+'[19]Перевод ДН дети'!Q63+'[19]Перевод 2 этапа ДВН'!Q63+'[19]Перевод 2 этапа УД'!Q63</f>
        <v>0</v>
      </c>
      <c r="R63" s="310">
        <v>1858</v>
      </c>
      <c r="S63" s="310">
        <f>'[19]Раз.пос.(Пр.2-24) '!S63+'[19]Перевод ДН дети'!S63+'[19]Перевод 2 этапа ДВН'!S63+'[19]Перевод 2 этапа УД'!S63</f>
        <v>0</v>
      </c>
    </row>
    <row r="64" spans="1:19" x14ac:dyDescent="0.2">
      <c r="A64" s="309">
        <v>54</v>
      </c>
      <c r="B64" s="224" t="s">
        <v>24</v>
      </c>
      <c r="C64" s="220" t="s">
        <v>25</v>
      </c>
      <c r="D64" s="305">
        <f t="shared" si="5"/>
        <v>65537</v>
      </c>
      <c r="E64" s="310">
        <f t="shared" si="2"/>
        <v>0</v>
      </c>
      <c r="F64" s="310">
        <v>0</v>
      </c>
      <c r="G64" s="310">
        <v>0</v>
      </c>
      <c r="H64" s="310">
        <f t="shared" si="3"/>
        <v>65537</v>
      </c>
      <c r="I64" s="336">
        <f>'[19]Раз.пос.(Пр.2-24) '!I64+'[19]Перевод ДН дети'!I64+'[19]Перевод 2 этапа ДВН'!I64+'[19]Перевод 2 этапа УД'!I64</f>
        <v>0</v>
      </c>
      <c r="J64" s="310">
        <v>3323</v>
      </c>
      <c r="K64" s="310">
        <v>0</v>
      </c>
      <c r="L64" s="310">
        <v>62214</v>
      </c>
      <c r="M64" s="310">
        <f>'[19]Раз.пос.(Пр.2-24) '!M64+'[19]Перевод ДН дети'!M64+'[19]Перевод 2 этапа ДВН'!M64+'[19]Перевод 2 этапа УД'!M64</f>
        <v>0</v>
      </c>
      <c r="N64" s="310">
        <f>'[19]Раз.пос.(Пр.2-24) '!N64+'[19]Перевод ДН дети'!N64+'[19]Перевод 2 этапа ДВН'!N64+'[19]Перевод 2 этапа УД'!N64</f>
        <v>0</v>
      </c>
      <c r="O64" s="305">
        <f t="shared" si="4"/>
        <v>0</v>
      </c>
      <c r="P64" s="310">
        <v>0</v>
      </c>
      <c r="Q64" s="310">
        <f>'[19]Раз.пос.(Пр.2-24) '!Q64+'[19]Перевод ДН дети'!Q64+'[19]Перевод 2 этапа ДВН'!Q64+'[19]Перевод 2 этапа УД'!Q64</f>
        <v>0</v>
      </c>
      <c r="R64" s="310">
        <v>0</v>
      </c>
      <c r="S64" s="310">
        <f>'[19]Раз.пос.(Пр.2-24) '!S64+'[19]Перевод ДН дети'!S64+'[19]Перевод 2 этапа ДВН'!S64+'[19]Перевод 2 этапа УД'!S64</f>
        <v>0</v>
      </c>
    </row>
    <row r="65" spans="1:19" x14ac:dyDescent="0.2">
      <c r="A65" s="309">
        <v>55</v>
      </c>
      <c r="B65" s="222" t="s">
        <v>193</v>
      </c>
      <c r="C65" s="220" t="s">
        <v>194</v>
      </c>
      <c r="D65" s="305">
        <f t="shared" si="5"/>
        <v>91786</v>
      </c>
      <c r="E65" s="310">
        <f t="shared" si="2"/>
        <v>0</v>
      </c>
      <c r="F65" s="310">
        <v>0</v>
      </c>
      <c r="G65" s="310">
        <v>0</v>
      </c>
      <c r="H65" s="310">
        <f t="shared" si="3"/>
        <v>91786</v>
      </c>
      <c r="I65" s="336">
        <f>'[19]Раз.пос.(Пр.2-24) '!I65+'[19]Перевод ДН дети'!I65+'[19]Перевод 2 этапа ДВН'!I65+'[19]Перевод 2 этапа УД'!I65</f>
        <v>100</v>
      </c>
      <c r="J65" s="310">
        <v>7100</v>
      </c>
      <c r="K65" s="310">
        <v>2300</v>
      </c>
      <c r="L65" s="310">
        <v>82286</v>
      </c>
      <c r="M65" s="310">
        <f>'[19]Раз.пос.(Пр.2-24) '!M65+'[19]Перевод ДН дети'!M65+'[19]Перевод 2 этапа ДВН'!M65+'[19]Перевод 2 этапа УД'!M65</f>
        <v>0</v>
      </c>
      <c r="N65" s="310">
        <f>'[19]Раз.пос.(Пр.2-24) '!N65+'[19]Перевод ДН дети'!N65+'[19]Перевод 2 этапа ДВН'!N65+'[19]Перевод 2 этапа УД'!N65</f>
        <v>0</v>
      </c>
      <c r="O65" s="305">
        <f t="shared" si="4"/>
        <v>0</v>
      </c>
      <c r="P65" s="310">
        <v>0</v>
      </c>
      <c r="Q65" s="310">
        <f>'[19]Раз.пос.(Пр.2-24) '!Q65+'[19]Перевод ДН дети'!Q65+'[19]Перевод 2 этапа ДВН'!Q65+'[19]Перевод 2 этапа УД'!Q65</f>
        <v>0</v>
      </c>
      <c r="R65" s="310">
        <v>0</v>
      </c>
      <c r="S65" s="310">
        <f>'[19]Раз.пос.(Пр.2-24) '!S65+'[19]Перевод ДН дети'!S65+'[19]Перевод 2 этапа ДВН'!S65+'[19]Перевод 2 этапа УД'!S65</f>
        <v>0</v>
      </c>
    </row>
    <row r="66" spans="1:19" x14ac:dyDescent="0.2">
      <c r="A66" s="309">
        <v>56</v>
      </c>
      <c r="B66" s="224" t="s">
        <v>26</v>
      </c>
      <c r="C66" s="220" t="s">
        <v>27</v>
      </c>
      <c r="D66" s="305">
        <f t="shared" si="5"/>
        <v>103630</v>
      </c>
      <c r="E66" s="310">
        <f t="shared" si="2"/>
        <v>0</v>
      </c>
      <c r="F66" s="310">
        <v>0</v>
      </c>
      <c r="G66" s="310">
        <v>0</v>
      </c>
      <c r="H66" s="310">
        <f t="shared" si="3"/>
        <v>103630</v>
      </c>
      <c r="I66" s="336">
        <f>'[19]Раз.пос.(Пр.2-24) '!I66+'[19]Перевод ДН дети'!I66+'[19]Перевод 2 этапа ДВН'!I66+'[19]Перевод 2 этапа УД'!I66</f>
        <v>0</v>
      </c>
      <c r="J66" s="310">
        <v>4876</v>
      </c>
      <c r="K66" s="310">
        <v>0</v>
      </c>
      <c r="L66" s="310">
        <v>98754</v>
      </c>
      <c r="M66" s="310">
        <f>'[19]Раз.пос.(Пр.2-24) '!M66+'[19]Перевод ДН дети'!M66+'[19]Перевод 2 этапа ДВН'!M66+'[19]Перевод 2 этапа УД'!M66</f>
        <v>0</v>
      </c>
      <c r="N66" s="310">
        <f>'[19]Раз.пос.(Пр.2-24) '!N66+'[19]Перевод ДН дети'!N66+'[19]Перевод 2 этапа ДВН'!N66+'[19]Перевод 2 этапа УД'!N66</f>
        <v>0</v>
      </c>
      <c r="O66" s="305">
        <f t="shared" si="4"/>
        <v>0</v>
      </c>
      <c r="P66" s="310">
        <v>0</v>
      </c>
      <c r="Q66" s="310">
        <f>'[19]Раз.пос.(Пр.2-24) '!Q66+'[19]Перевод ДН дети'!Q66+'[19]Перевод 2 этапа ДВН'!Q66+'[19]Перевод 2 этапа УД'!Q66</f>
        <v>0</v>
      </c>
      <c r="R66" s="310">
        <v>0</v>
      </c>
      <c r="S66" s="310">
        <f>'[19]Раз.пос.(Пр.2-24) '!S66+'[19]Перевод ДН дети'!S66+'[19]Перевод 2 этапа ДВН'!S66+'[19]Перевод 2 этапа УД'!S66</f>
        <v>0</v>
      </c>
    </row>
    <row r="67" spans="1:19" x14ac:dyDescent="0.2">
      <c r="A67" s="309">
        <v>57</v>
      </c>
      <c r="B67" s="219" t="s">
        <v>28</v>
      </c>
      <c r="C67" s="220" t="s">
        <v>29</v>
      </c>
      <c r="D67" s="305">
        <f t="shared" si="5"/>
        <v>77383</v>
      </c>
      <c r="E67" s="310">
        <f t="shared" si="2"/>
        <v>0</v>
      </c>
      <c r="F67" s="310">
        <v>0</v>
      </c>
      <c r="G67" s="310">
        <v>0</v>
      </c>
      <c r="H67" s="310">
        <f t="shared" si="3"/>
        <v>77383</v>
      </c>
      <c r="I67" s="336">
        <f>'[19]Раз.пос.(Пр.2-24) '!I67+'[19]Перевод ДН дети'!I67+'[19]Перевод 2 этапа ДВН'!I67+'[19]Перевод 2 этапа УД'!I67</f>
        <v>0</v>
      </c>
      <c r="J67" s="310">
        <v>15382</v>
      </c>
      <c r="K67" s="310">
        <v>2500</v>
      </c>
      <c r="L67" s="310">
        <v>59501</v>
      </c>
      <c r="M67" s="310">
        <f>'[19]Раз.пос.(Пр.2-24) '!M67+'[19]Перевод ДН дети'!M67+'[19]Перевод 2 этапа ДВН'!M67+'[19]Перевод 2 этапа УД'!M67</f>
        <v>0</v>
      </c>
      <c r="N67" s="310">
        <f>'[19]Раз.пос.(Пр.2-24) '!N67+'[19]Перевод ДН дети'!N67+'[19]Перевод 2 этапа ДВН'!N67+'[19]Перевод 2 этапа УД'!N67</f>
        <v>0</v>
      </c>
      <c r="O67" s="305">
        <f t="shared" si="4"/>
        <v>0</v>
      </c>
      <c r="P67" s="310">
        <v>0</v>
      </c>
      <c r="Q67" s="310">
        <f>'[19]Раз.пос.(Пр.2-24) '!Q67+'[19]Перевод ДН дети'!Q67+'[19]Перевод 2 этапа ДВН'!Q67+'[19]Перевод 2 этапа УД'!Q67</f>
        <v>0</v>
      </c>
      <c r="R67" s="310">
        <v>0</v>
      </c>
      <c r="S67" s="310">
        <f>'[19]Раз.пос.(Пр.2-24) '!S67+'[19]Перевод ДН дети'!S67+'[19]Перевод 2 этапа ДВН'!S67+'[19]Перевод 2 этапа УД'!S67</f>
        <v>0</v>
      </c>
    </row>
    <row r="68" spans="1:19" ht="24" x14ac:dyDescent="0.2">
      <c r="A68" s="309">
        <v>58</v>
      </c>
      <c r="B68" s="222" t="s">
        <v>196</v>
      </c>
      <c r="C68" s="220" t="s">
        <v>197</v>
      </c>
      <c r="D68" s="305">
        <f t="shared" si="5"/>
        <v>29442</v>
      </c>
      <c r="E68" s="310">
        <f t="shared" si="2"/>
        <v>0</v>
      </c>
      <c r="F68" s="310">
        <v>0</v>
      </c>
      <c r="G68" s="310">
        <v>0</v>
      </c>
      <c r="H68" s="310">
        <f t="shared" si="3"/>
        <v>29442</v>
      </c>
      <c r="I68" s="336">
        <f>'[19]Раз.пос.(Пр.2-24) '!I68+'[19]Перевод ДН дети'!I68+'[19]Перевод 2 этапа ДВН'!I68+'[19]Перевод 2 этапа УД'!I68</f>
        <v>9619</v>
      </c>
      <c r="J68" s="310">
        <v>0</v>
      </c>
      <c r="K68" s="310">
        <v>19823</v>
      </c>
      <c r="L68" s="310">
        <v>0</v>
      </c>
      <c r="M68" s="310">
        <f>'[19]Раз.пос.(Пр.2-24) '!M68+'[19]Перевод ДН дети'!M68+'[19]Перевод 2 этапа ДВН'!M68+'[19]Перевод 2 этапа УД'!M68</f>
        <v>0</v>
      </c>
      <c r="N68" s="310">
        <f>'[19]Раз.пос.(Пр.2-24) '!N68+'[19]Перевод ДН дети'!N68+'[19]Перевод 2 этапа ДВН'!N68+'[19]Перевод 2 этапа УД'!N68</f>
        <v>0</v>
      </c>
      <c r="O68" s="305">
        <f t="shared" si="4"/>
        <v>0</v>
      </c>
      <c r="P68" s="310">
        <v>0</v>
      </c>
      <c r="Q68" s="310">
        <f>'[19]Раз.пос.(Пр.2-24) '!Q68+'[19]Перевод ДН дети'!Q68+'[19]Перевод 2 этапа ДВН'!Q68+'[19]Перевод 2 этапа УД'!Q68</f>
        <v>0</v>
      </c>
      <c r="R68" s="310">
        <v>0</v>
      </c>
      <c r="S68" s="310">
        <f>'[19]Раз.пос.(Пр.2-24) '!S68+'[19]Перевод ДН дети'!S68+'[19]Перевод 2 этапа ДВН'!S68+'[19]Перевод 2 этапа УД'!S68</f>
        <v>0</v>
      </c>
    </row>
    <row r="69" spans="1:19" ht="24" x14ac:dyDescent="0.2">
      <c r="A69" s="309">
        <v>59</v>
      </c>
      <c r="B69" s="222" t="s">
        <v>198</v>
      </c>
      <c r="C69" s="220" t="s">
        <v>199</v>
      </c>
      <c r="D69" s="305">
        <f t="shared" si="5"/>
        <v>15320</v>
      </c>
      <c r="E69" s="310">
        <f t="shared" si="2"/>
        <v>0</v>
      </c>
      <c r="F69" s="310">
        <v>0</v>
      </c>
      <c r="G69" s="310">
        <v>0</v>
      </c>
      <c r="H69" s="310">
        <f t="shared" si="3"/>
        <v>15320</v>
      </c>
      <c r="I69" s="336">
        <f>'[19]Раз.пос.(Пр.2-24) '!I69+'[19]Перевод ДН дети'!I69+'[19]Перевод 2 этапа ДВН'!I69+'[19]Перевод 2 этапа УД'!I69</f>
        <v>4700</v>
      </c>
      <c r="J69" s="310">
        <v>0</v>
      </c>
      <c r="K69" s="310">
        <v>10620</v>
      </c>
      <c r="L69" s="310">
        <v>0</v>
      </c>
      <c r="M69" s="310">
        <f>'[19]Раз.пос.(Пр.2-24) '!M69+'[19]Перевод ДН дети'!M69+'[19]Перевод 2 этапа ДВН'!M69+'[19]Перевод 2 этапа УД'!M69</f>
        <v>0</v>
      </c>
      <c r="N69" s="310">
        <f>'[19]Раз.пос.(Пр.2-24) '!N69+'[19]Перевод ДН дети'!N69+'[19]Перевод 2 этапа ДВН'!N69+'[19]Перевод 2 этапа УД'!N69</f>
        <v>0</v>
      </c>
      <c r="O69" s="305">
        <f t="shared" si="4"/>
        <v>0</v>
      </c>
      <c r="P69" s="310">
        <v>0</v>
      </c>
      <c r="Q69" s="310">
        <f>'[19]Раз.пос.(Пр.2-24) '!Q69+'[19]Перевод ДН дети'!Q69+'[19]Перевод 2 этапа ДВН'!Q69+'[19]Перевод 2 этапа УД'!Q69</f>
        <v>0</v>
      </c>
      <c r="R69" s="310">
        <v>0</v>
      </c>
      <c r="S69" s="310">
        <f>'[19]Раз.пос.(Пр.2-24) '!S69+'[19]Перевод ДН дети'!S69+'[19]Перевод 2 этапа ДВН'!S69+'[19]Перевод 2 этапа УД'!S69</f>
        <v>0</v>
      </c>
    </row>
    <row r="70" spans="1:19" x14ac:dyDescent="0.2">
      <c r="A70" s="309">
        <v>60</v>
      </c>
      <c r="B70" s="224" t="s">
        <v>62</v>
      </c>
      <c r="C70" s="220" t="s">
        <v>200</v>
      </c>
      <c r="D70" s="305">
        <f t="shared" si="5"/>
        <v>64991</v>
      </c>
      <c r="E70" s="310">
        <f t="shared" si="2"/>
        <v>0</v>
      </c>
      <c r="F70" s="310">
        <v>0</v>
      </c>
      <c r="G70" s="310">
        <v>0</v>
      </c>
      <c r="H70" s="310">
        <f t="shared" si="3"/>
        <v>63527</v>
      </c>
      <c r="I70" s="336">
        <f>'[19]Раз.пос.(Пр.2-24) '!I70+'[19]Перевод ДН дети'!I70+'[19]Перевод 2 этапа ДВН'!I70+'[19]Перевод 2 этапа УД'!I70</f>
        <v>0</v>
      </c>
      <c r="J70" s="310">
        <v>20826</v>
      </c>
      <c r="K70" s="310">
        <v>0</v>
      </c>
      <c r="L70" s="310">
        <v>42701</v>
      </c>
      <c r="M70" s="310">
        <f>'[19]Раз.пос.(Пр.2-24) '!M70+'[19]Перевод ДН дети'!M70+'[19]Перевод 2 этапа ДВН'!M70+'[19]Перевод 2 этапа УД'!M70</f>
        <v>1025</v>
      </c>
      <c r="N70" s="310">
        <f>'[19]Раз.пос.(Пр.2-24) '!N70+'[19]Перевод ДН дети'!N70+'[19]Перевод 2 этапа ДВН'!N70+'[19]Перевод 2 этапа УД'!N70</f>
        <v>439</v>
      </c>
      <c r="O70" s="305">
        <f t="shared" si="4"/>
        <v>0</v>
      </c>
      <c r="P70" s="310">
        <v>0</v>
      </c>
      <c r="Q70" s="310">
        <f>'[19]Раз.пос.(Пр.2-24) '!Q70+'[19]Перевод ДН дети'!Q70+'[19]Перевод 2 этапа ДВН'!Q70+'[19]Перевод 2 этапа УД'!Q70</f>
        <v>0</v>
      </c>
      <c r="R70" s="310">
        <v>0</v>
      </c>
      <c r="S70" s="310">
        <f>'[19]Раз.пос.(Пр.2-24) '!S70+'[19]Перевод ДН дети'!S70+'[19]Перевод 2 этапа ДВН'!S70+'[19]Перевод 2 этапа УД'!S70</f>
        <v>0</v>
      </c>
    </row>
    <row r="71" spans="1:19" x14ac:dyDescent="0.2">
      <c r="A71" s="309">
        <v>61</v>
      </c>
      <c r="B71" s="224" t="s">
        <v>64</v>
      </c>
      <c r="C71" s="220" t="s">
        <v>201</v>
      </c>
      <c r="D71" s="305">
        <f t="shared" si="5"/>
        <v>14638</v>
      </c>
      <c r="E71" s="310">
        <f t="shared" si="2"/>
        <v>0</v>
      </c>
      <c r="F71" s="310">
        <v>0</v>
      </c>
      <c r="G71" s="310">
        <v>0</v>
      </c>
      <c r="H71" s="310">
        <f t="shared" si="3"/>
        <v>13174</v>
      </c>
      <c r="I71" s="336">
        <f>'[19]Раз.пос.(Пр.2-24) '!I71+'[19]Перевод ДН дети'!I71+'[19]Перевод 2 этапа ДВН'!I71+'[19]Перевод 2 этапа УД'!I71</f>
        <v>0</v>
      </c>
      <c r="J71" s="310">
        <v>7621</v>
      </c>
      <c r="K71" s="310">
        <v>0</v>
      </c>
      <c r="L71" s="310">
        <v>5553</v>
      </c>
      <c r="M71" s="310">
        <f>'[19]Раз.пос.(Пр.2-24) '!M71+'[19]Перевод ДН дети'!M71+'[19]Перевод 2 этапа ДВН'!M71+'[19]Перевод 2 этапа УД'!M71</f>
        <v>1025</v>
      </c>
      <c r="N71" s="310">
        <f>'[19]Раз.пос.(Пр.2-24) '!N71+'[19]Перевод ДН дети'!N71+'[19]Перевод 2 этапа ДВН'!N71+'[19]Перевод 2 этапа УД'!N71</f>
        <v>439</v>
      </c>
      <c r="O71" s="305">
        <f t="shared" si="4"/>
        <v>0</v>
      </c>
      <c r="P71" s="310">
        <v>0</v>
      </c>
      <c r="Q71" s="310">
        <f>'[19]Раз.пос.(Пр.2-24) '!Q71+'[19]Перевод ДН дети'!Q71+'[19]Перевод 2 этапа ДВН'!Q71+'[19]Перевод 2 этапа УД'!Q71</f>
        <v>0</v>
      </c>
      <c r="R71" s="310">
        <v>0</v>
      </c>
      <c r="S71" s="310">
        <f>'[19]Раз.пос.(Пр.2-24) '!S71+'[19]Перевод ДН дети'!S71+'[19]Перевод 2 этапа ДВН'!S71+'[19]Перевод 2 этапа УД'!S71</f>
        <v>0</v>
      </c>
    </row>
    <row r="72" spans="1:19" x14ac:dyDescent="0.2">
      <c r="A72" s="309">
        <v>62</v>
      </c>
      <c r="B72" s="224" t="s">
        <v>66</v>
      </c>
      <c r="C72" s="220" t="s">
        <v>202</v>
      </c>
      <c r="D72" s="305">
        <f t="shared" si="5"/>
        <v>46344</v>
      </c>
      <c r="E72" s="310">
        <f t="shared" si="2"/>
        <v>0</v>
      </c>
      <c r="F72" s="310">
        <v>0</v>
      </c>
      <c r="G72" s="310">
        <v>0</v>
      </c>
      <c r="H72" s="310">
        <f t="shared" si="3"/>
        <v>44880</v>
      </c>
      <c r="I72" s="336">
        <f>'[19]Раз.пос.(Пр.2-24) '!I72+'[19]Перевод ДН дети'!I72+'[19]Перевод 2 этапа ДВН'!I72+'[19]Перевод 2 этапа УД'!I72</f>
        <v>0</v>
      </c>
      <c r="J72" s="310">
        <v>30844</v>
      </c>
      <c r="K72" s="310">
        <v>0</v>
      </c>
      <c r="L72" s="310">
        <v>14036</v>
      </c>
      <c r="M72" s="310">
        <f>'[19]Раз.пос.(Пр.2-24) '!M72+'[19]Перевод ДН дети'!M72+'[19]Перевод 2 этапа ДВН'!M72+'[19]Перевод 2 этапа УД'!M72</f>
        <v>1025</v>
      </c>
      <c r="N72" s="310">
        <f>'[19]Раз.пос.(Пр.2-24) '!N72+'[19]Перевод ДН дети'!N72+'[19]Перевод 2 этапа ДВН'!N72+'[19]Перевод 2 этапа УД'!N72</f>
        <v>439</v>
      </c>
      <c r="O72" s="305">
        <f t="shared" si="4"/>
        <v>0</v>
      </c>
      <c r="P72" s="310">
        <v>0</v>
      </c>
      <c r="Q72" s="310">
        <f>'[19]Раз.пос.(Пр.2-24) '!Q72+'[19]Перевод ДН дети'!Q72+'[19]Перевод 2 этапа ДВН'!Q72+'[19]Перевод 2 этапа УД'!Q72</f>
        <v>0</v>
      </c>
      <c r="R72" s="310">
        <v>0</v>
      </c>
      <c r="S72" s="310">
        <f>'[19]Раз.пос.(Пр.2-24) '!S72+'[19]Перевод ДН дети'!S72+'[19]Перевод 2 этапа ДВН'!S72+'[19]Перевод 2 этапа УД'!S72</f>
        <v>0</v>
      </c>
    </row>
    <row r="73" spans="1:19" ht="24" x14ac:dyDescent="0.2">
      <c r="A73" s="309">
        <v>63</v>
      </c>
      <c r="B73" s="224" t="s">
        <v>203</v>
      </c>
      <c r="C73" s="220" t="s">
        <v>204</v>
      </c>
      <c r="D73" s="305">
        <f t="shared" si="5"/>
        <v>1989</v>
      </c>
      <c r="E73" s="310">
        <f t="shared" si="2"/>
        <v>0</v>
      </c>
      <c r="F73" s="310">
        <v>0</v>
      </c>
      <c r="G73" s="310">
        <v>0</v>
      </c>
      <c r="H73" s="310">
        <f t="shared" si="3"/>
        <v>1989</v>
      </c>
      <c r="I73" s="336">
        <f>'[19]Раз.пос.(Пр.2-24) '!I73+'[19]Перевод ДН дети'!I73+'[19]Перевод 2 этапа ДВН'!I73+'[19]Перевод 2 этапа УД'!I73</f>
        <v>0</v>
      </c>
      <c r="J73" s="310">
        <v>0</v>
      </c>
      <c r="K73" s="310">
        <v>1989</v>
      </c>
      <c r="L73" s="310">
        <v>0</v>
      </c>
      <c r="M73" s="310">
        <f>'[19]Раз.пос.(Пр.2-24) '!M73+'[19]Перевод ДН дети'!M73+'[19]Перевод 2 этапа ДВН'!M73+'[19]Перевод 2 этапа УД'!M73</f>
        <v>0</v>
      </c>
      <c r="N73" s="310">
        <f>'[19]Раз.пос.(Пр.2-24) '!N73+'[19]Перевод ДН дети'!N73+'[19]Перевод 2 этапа ДВН'!N73+'[19]Перевод 2 этапа УД'!N73</f>
        <v>0</v>
      </c>
      <c r="O73" s="305">
        <f t="shared" si="4"/>
        <v>0</v>
      </c>
      <c r="P73" s="310">
        <v>0</v>
      </c>
      <c r="Q73" s="310">
        <f>'[19]Раз.пос.(Пр.2-24) '!Q73+'[19]Перевод ДН дети'!Q73+'[19]Перевод 2 этапа ДВН'!Q73+'[19]Перевод 2 этапа УД'!Q73</f>
        <v>0</v>
      </c>
      <c r="R73" s="310">
        <v>0</v>
      </c>
      <c r="S73" s="310">
        <f>'[19]Раз.пос.(Пр.2-24) '!S73+'[19]Перевод ДН дети'!S73+'[19]Перевод 2 этапа ДВН'!S73+'[19]Перевод 2 этапа УД'!S73</f>
        <v>0</v>
      </c>
    </row>
    <row r="74" spans="1:19" ht="24" x14ac:dyDescent="0.2">
      <c r="A74" s="309">
        <v>64</v>
      </c>
      <c r="B74" s="222" t="s">
        <v>205</v>
      </c>
      <c r="C74" s="220" t="s">
        <v>206</v>
      </c>
      <c r="D74" s="305">
        <f t="shared" si="5"/>
        <v>2942</v>
      </c>
      <c r="E74" s="310">
        <f t="shared" si="2"/>
        <v>0</v>
      </c>
      <c r="F74" s="310">
        <v>0</v>
      </c>
      <c r="G74" s="310">
        <v>0</v>
      </c>
      <c r="H74" s="310">
        <f t="shared" si="3"/>
        <v>2942</v>
      </c>
      <c r="I74" s="336">
        <f>'[19]Раз.пос.(Пр.2-24) '!I74+'[19]Перевод ДН дети'!I74+'[19]Перевод 2 этапа ДВН'!I74+'[19]Перевод 2 этапа УД'!I74</f>
        <v>0</v>
      </c>
      <c r="J74" s="310">
        <v>0</v>
      </c>
      <c r="K74" s="310">
        <v>2942</v>
      </c>
      <c r="L74" s="310">
        <v>0</v>
      </c>
      <c r="M74" s="310">
        <f>'[19]Раз.пос.(Пр.2-24) '!M74+'[19]Перевод ДН дети'!M74+'[19]Перевод 2 этапа ДВН'!M74+'[19]Перевод 2 этапа УД'!M74</f>
        <v>0</v>
      </c>
      <c r="N74" s="310">
        <f>'[19]Раз.пос.(Пр.2-24) '!N74+'[19]Перевод ДН дети'!N74+'[19]Перевод 2 этапа ДВН'!N74+'[19]Перевод 2 этапа УД'!N74</f>
        <v>0</v>
      </c>
      <c r="O74" s="305">
        <f t="shared" si="4"/>
        <v>0</v>
      </c>
      <c r="P74" s="310">
        <v>0</v>
      </c>
      <c r="Q74" s="310">
        <f>'[19]Раз.пос.(Пр.2-24) '!Q74+'[19]Перевод ДН дети'!Q74+'[19]Перевод 2 этапа ДВН'!Q74+'[19]Перевод 2 этапа УД'!Q74</f>
        <v>0</v>
      </c>
      <c r="R74" s="310">
        <v>0</v>
      </c>
      <c r="S74" s="310">
        <f>'[19]Раз.пос.(Пр.2-24) '!S74+'[19]Перевод ДН дети'!S74+'[19]Перевод 2 этапа ДВН'!S74+'[19]Перевод 2 этапа УД'!S74</f>
        <v>0</v>
      </c>
    </row>
    <row r="75" spans="1:19" ht="24" x14ac:dyDescent="0.2">
      <c r="A75" s="309">
        <v>65</v>
      </c>
      <c r="B75" s="224" t="s">
        <v>207</v>
      </c>
      <c r="C75" s="220" t="s">
        <v>208</v>
      </c>
      <c r="D75" s="305">
        <f t="shared" si="5"/>
        <v>3503</v>
      </c>
      <c r="E75" s="310">
        <f t="shared" si="2"/>
        <v>0</v>
      </c>
      <c r="F75" s="310">
        <v>0</v>
      </c>
      <c r="G75" s="310">
        <v>0</v>
      </c>
      <c r="H75" s="310">
        <f t="shared" si="3"/>
        <v>3503</v>
      </c>
      <c r="I75" s="336">
        <f>'[19]Раз.пос.(Пр.2-24) '!I75+'[19]Перевод ДН дети'!I75+'[19]Перевод 2 этапа ДВН'!I75+'[19]Перевод 2 этапа УД'!I75</f>
        <v>0</v>
      </c>
      <c r="J75" s="310">
        <v>0</v>
      </c>
      <c r="K75" s="310">
        <v>3503</v>
      </c>
      <c r="L75" s="310">
        <v>0</v>
      </c>
      <c r="M75" s="310">
        <f>'[19]Раз.пос.(Пр.2-24) '!M75+'[19]Перевод ДН дети'!M75+'[19]Перевод 2 этапа ДВН'!M75+'[19]Перевод 2 этапа УД'!M75</f>
        <v>0</v>
      </c>
      <c r="N75" s="310">
        <f>'[19]Раз.пос.(Пр.2-24) '!N75+'[19]Перевод ДН дети'!N75+'[19]Перевод 2 этапа ДВН'!N75+'[19]Перевод 2 этапа УД'!N75</f>
        <v>0</v>
      </c>
      <c r="O75" s="305">
        <f t="shared" si="4"/>
        <v>0</v>
      </c>
      <c r="P75" s="310">
        <v>0</v>
      </c>
      <c r="Q75" s="310">
        <f>'[19]Раз.пос.(Пр.2-24) '!Q75+'[19]Перевод ДН дети'!Q75+'[19]Перевод 2 этапа ДВН'!Q75+'[19]Перевод 2 этапа УД'!Q75</f>
        <v>0</v>
      </c>
      <c r="R75" s="310">
        <v>0</v>
      </c>
      <c r="S75" s="310">
        <f>'[19]Раз.пос.(Пр.2-24) '!S75+'[19]Перевод ДН дети'!S75+'[19]Перевод 2 этапа ДВН'!S75+'[19]Перевод 2 этапа УД'!S75</f>
        <v>0</v>
      </c>
    </row>
    <row r="76" spans="1:19" ht="24" x14ac:dyDescent="0.2">
      <c r="A76" s="309">
        <v>66</v>
      </c>
      <c r="B76" s="224" t="s">
        <v>209</v>
      </c>
      <c r="C76" s="220" t="s">
        <v>210</v>
      </c>
      <c r="D76" s="305">
        <f t="shared" si="5"/>
        <v>2599</v>
      </c>
      <c r="E76" s="310">
        <f t="shared" ref="E76:E139" si="6">F76+G76</f>
        <v>0</v>
      </c>
      <c r="F76" s="310">
        <v>0</v>
      </c>
      <c r="G76" s="310">
        <v>0</v>
      </c>
      <c r="H76" s="310">
        <f t="shared" ref="H76:H139" si="7">SUM(I76:L76)</f>
        <v>2599</v>
      </c>
      <c r="I76" s="336">
        <f>'[19]Раз.пос.(Пр.2-24) '!I76+'[19]Перевод ДН дети'!I76+'[19]Перевод 2 этапа ДВН'!I76+'[19]Перевод 2 этапа УД'!I76</f>
        <v>0</v>
      </c>
      <c r="J76" s="310">
        <v>0</v>
      </c>
      <c r="K76" s="310">
        <v>2599</v>
      </c>
      <c r="L76" s="310">
        <v>0</v>
      </c>
      <c r="M76" s="310">
        <f>'[19]Раз.пос.(Пр.2-24) '!M76+'[19]Перевод ДН дети'!M76+'[19]Перевод 2 этапа ДВН'!M76+'[19]Перевод 2 этапа УД'!M76</f>
        <v>0</v>
      </c>
      <c r="N76" s="310">
        <f>'[19]Раз.пос.(Пр.2-24) '!N76+'[19]Перевод ДН дети'!N76+'[19]Перевод 2 этапа ДВН'!N76+'[19]Перевод 2 этапа УД'!N76</f>
        <v>0</v>
      </c>
      <c r="O76" s="305">
        <f t="shared" ref="O76:O139" si="8">P76+Q76+R76</f>
        <v>0</v>
      </c>
      <c r="P76" s="310">
        <v>0</v>
      </c>
      <c r="Q76" s="310">
        <f>'[19]Раз.пос.(Пр.2-24) '!Q76+'[19]Перевод ДН дети'!Q76+'[19]Перевод 2 этапа ДВН'!Q76+'[19]Перевод 2 этапа УД'!Q76</f>
        <v>0</v>
      </c>
      <c r="R76" s="310">
        <v>0</v>
      </c>
      <c r="S76" s="310">
        <f>'[19]Раз.пос.(Пр.2-24) '!S76+'[19]Перевод ДН дети'!S76+'[19]Перевод 2 этапа ДВН'!S76+'[19]Перевод 2 этапа УД'!S76</f>
        <v>0</v>
      </c>
    </row>
    <row r="77" spans="1:19" ht="24" x14ac:dyDescent="0.2">
      <c r="A77" s="309">
        <v>67</v>
      </c>
      <c r="B77" s="222" t="s">
        <v>211</v>
      </c>
      <c r="C77" s="220" t="s">
        <v>212</v>
      </c>
      <c r="D77" s="305">
        <f t="shared" ref="D77:D140" si="9">E77+H77+M77+N77+O77</f>
        <v>14541</v>
      </c>
      <c r="E77" s="310">
        <f t="shared" si="6"/>
        <v>0</v>
      </c>
      <c r="F77" s="310">
        <v>0</v>
      </c>
      <c r="G77" s="310">
        <v>0</v>
      </c>
      <c r="H77" s="310">
        <f t="shared" si="7"/>
        <v>14541</v>
      </c>
      <c r="I77" s="336">
        <f>'[19]Раз.пос.(Пр.2-24) '!I77+'[19]Перевод ДН дети'!I77+'[19]Перевод 2 этапа ДВН'!I77+'[19]Перевод 2 этапа УД'!I77</f>
        <v>2072</v>
      </c>
      <c r="J77" s="310">
        <v>0</v>
      </c>
      <c r="K77" s="310">
        <v>12469</v>
      </c>
      <c r="L77" s="310">
        <v>0</v>
      </c>
      <c r="M77" s="310">
        <f>'[19]Раз.пос.(Пр.2-24) '!M77+'[19]Перевод ДН дети'!M77+'[19]Перевод 2 этапа ДВН'!M77+'[19]Перевод 2 этапа УД'!M77</f>
        <v>0</v>
      </c>
      <c r="N77" s="310">
        <f>'[19]Раз.пос.(Пр.2-24) '!N77+'[19]Перевод ДН дети'!N77+'[19]Перевод 2 этапа ДВН'!N77+'[19]Перевод 2 этапа УД'!N77</f>
        <v>0</v>
      </c>
      <c r="O77" s="305">
        <f t="shared" si="8"/>
        <v>0</v>
      </c>
      <c r="P77" s="310">
        <v>0</v>
      </c>
      <c r="Q77" s="310">
        <f>'[19]Раз.пос.(Пр.2-24) '!Q77+'[19]Перевод ДН дети'!Q77+'[19]Перевод 2 этапа ДВН'!Q77+'[19]Перевод 2 этапа УД'!Q77</f>
        <v>0</v>
      </c>
      <c r="R77" s="310">
        <v>0</v>
      </c>
      <c r="S77" s="310">
        <f>'[19]Раз.пос.(Пр.2-24) '!S77+'[19]Перевод ДН дети'!S77+'[19]Перевод 2 этапа ДВН'!S77+'[19]Перевод 2 этапа УД'!S77</f>
        <v>0</v>
      </c>
    </row>
    <row r="78" spans="1:19" ht="24" x14ac:dyDescent="0.2">
      <c r="A78" s="309">
        <v>68</v>
      </c>
      <c r="B78" s="222" t="s">
        <v>213</v>
      </c>
      <c r="C78" s="220" t="s">
        <v>214</v>
      </c>
      <c r="D78" s="305">
        <f t="shared" si="9"/>
        <v>2414</v>
      </c>
      <c r="E78" s="310">
        <f t="shared" si="6"/>
        <v>0</v>
      </c>
      <c r="F78" s="310">
        <v>0</v>
      </c>
      <c r="G78" s="310">
        <v>0</v>
      </c>
      <c r="H78" s="310">
        <f t="shared" si="7"/>
        <v>2414</v>
      </c>
      <c r="I78" s="336">
        <f>'[19]Раз.пос.(Пр.2-24) '!I78+'[19]Перевод ДН дети'!I78+'[19]Перевод 2 этапа ДВН'!I78+'[19]Перевод 2 этапа УД'!I78</f>
        <v>0</v>
      </c>
      <c r="J78" s="310">
        <v>0</v>
      </c>
      <c r="K78" s="310">
        <v>2414</v>
      </c>
      <c r="L78" s="310">
        <v>0</v>
      </c>
      <c r="M78" s="310">
        <f>'[19]Раз.пос.(Пр.2-24) '!M78+'[19]Перевод ДН дети'!M78+'[19]Перевод 2 этапа ДВН'!M78+'[19]Перевод 2 этапа УД'!M78</f>
        <v>0</v>
      </c>
      <c r="N78" s="310">
        <f>'[19]Раз.пос.(Пр.2-24) '!N78+'[19]Перевод ДН дети'!N78+'[19]Перевод 2 этапа ДВН'!N78+'[19]Перевод 2 этапа УД'!N78</f>
        <v>0</v>
      </c>
      <c r="O78" s="305">
        <f t="shared" si="8"/>
        <v>0</v>
      </c>
      <c r="P78" s="310">
        <v>0</v>
      </c>
      <c r="Q78" s="310">
        <f>'[19]Раз.пос.(Пр.2-24) '!Q78+'[19]Перевод ДН дети'!Q78+'[19]Перевод 2 этапа ДВН'!Q78+'[19]Перевод 2 этапа УД'!Q78</f>
        <v>0</v>
      </c>
      <c r="R78" s="310">
        <v>0</v>
      </c>
      <c r="S78" s="310">
        <f>'[19]Раз.пос.(Пр.2-24) '!S78+'[19]Перевод ДН дети'!S78+'[19]Перевод 2 этапа ДВН'!S78+'[19]Перевод 2 этапа УД'!S78</f>
        <v>0</v>
      </c>
    </row>
    <row r="79" spans="1:19" ht="24" x14ac:dyDescent="0.2">
      <c r="A79" s="309">
        <v>69</v>
      </c>
      <c r="B79" s="222" t="s">
        <v>215</v>
      </c>
      <c r="C79" s="220" t="s">
        <v>216</v>
      </c>
      <c r="D79" s="305">
        <f t="shared" si="9"/>
        <v>2593</v>
      </c>
      <c r="E79" s="310">
        <f t="shared" si="6"/>
        <v>0</v>
      </c>
      <c r="F79" s="310">
        <v>0</v>
      </c>
      <c r="G79" s="310">
        <v>0</v>
      </c>
      <c r="H79" s="310">
        <f t="shared" si="7"/>
        <v>2593</v>
      </c>
      <c r="I79" s="336">
        <f>'[19]Раз.пос.(Пр.2-24) '!I79+'[19]Перевод ДН дети'!I79+'[19]Перевод 2 этапа ДВН'!I79+'[19]Перевод 2 этапа УД'!I79</f>
        <v>0</v>
      </c>
      <c r="J79" s="310">
        <v>0</v>
      </c>
      <c r="K79" s="310">
        <v>2593</v>
      </c>
      <c r="L79" s="310">
        <v>0</v>
      </c>
      <c r="M79" s="310">
        <f>'[19]Раз.пос.(Пр.2-24) '!M79+'[19]Перевод ДН дети'!M79+'[19]Перевод 2 этапа ДВН'!M79+'[19]Перевод 2 этапа УД'!M79</f>
        <v>0</v>
      </c>
      <c r="N79" s="310">
        <f>'[19]Раз.пос.(Пр.2-24) '!N79+'[19]Перевод ДН дети'!N79+'[19]Перевод 2 этапа ДВН'!N79+'[19]Перевод 2 этапа УД'!N79</f>
        <v>0</v>
      </c>
      <c r="O79" s="305">
        <f t="shared" si="8"/>
        <v>0</v>
      </c>
      <c r="P79" s="310">
        <v>0</v>
      </c>
      <c r="Q79" s="310">
        <f>'[19]Раз.пос.(Пр.2-24) '!Q79+'[19]Перевод ДН дети'!Q79+'[19]Перевод 2 этапа ДВН'!Q79+'[19]Перевод 2 этапа УД'!Q79</f>
        <v>0</v>
      </c>
      <c r="R79" s="310">
        <v>0</v>
      </c>
      <c r="S79" s="310">
        <f>'[19]Раз.пос.(Пр.2-24) '!S79+'[19]Перевод ДН дети'!S79+'[19]Перевод 2 этапа ДВН'!S79+'[19]Перевод 2 этапа УД'!S79</f>
        <v>0</v>
      </c>
    </row>
    <row r="80" spans="1:19" x14ac:dyDescent="0.2">
      <c r="A80" s="309">
        <v>70</v>
      </c>
      <c r="B80" s="219" t="s">
        <v>217</v>
      </c>
      <c r="C80" s="220" t="s">
        <v>218</v>
      </c>
      <c r="D80" s="305">
        <f t="shared" si="9"/>
        <v>76552</v>
      </c>
      <c r="E80" s="310">
        <f t="shared" si="6"/>
        <v>0</v>
      </c>
      <c r="F80" s="310">
        <v>0</v>
      </c>
      <c r="G80" s="310">
        <v>0</v>
      </c>
      <c r="H80" s="310">
        <f t="shared" si="7"/>
        <v>75088</v>
      </c>
      <c r="I80" s="336">
        <f>'[19]Раз.пос.(Пр.2-24) '!I80+'[19]Перевод ДН дети'!I80+'[19]Перевод 2 этапа ДВН'!I80+'[19]Перевод 2 этапа УД'!I80</f>
        <v>0</v>
      </c>
      <c r="J80" s="310">
        <v>18394</v>
      </c>
      <c r="K80" s="310">
        <v>209</v>
      </c>
      <c r="L80" s="310">
        <v>56485</v>
      </c>
      <c r="M80" s="310">
        <f>'[19]Раз.пос.(Пр.2-24) '!M80+'[19]Перевод ДН дети'!M80+'[19]Перевод 2 этапа ДВН'!M80+'[19]Перевод 2 этапа УД'!M80</f>
        <v>1025</v>
      </c>
      <c r="N80" s="310">
        <f>'[19]Раз.пос.(Пр.2-24) '!N80+'[19]Перевод ДН дети'!N80+'[19]Перевод 2 этапа ДВН'!N80+'[19]Перевод 2 этапа УД'!N80</f>
        <v>439</v>
      </c>
      <c r="O80" s="305">
        <f t="shared" si="8"/>
        <v>0</v>
      </c>
      <c r="P80" s="310">
        <v>0</v>
      </c>
      <c r="Q80" s="310">
        <f>'[19]Раз.пос.(Пр.2-24) '!Q80+'[19]Перевод ДН дети'!Q80+'[19]Перевод 2 этапа ДВН'!Q80+'[19]Перевод 2 этапа УД'!Q80</f>
        <v>0</v>
      </c>
      <c r="R80" s="310">
        <v>0</v>
      </c>
      <c r="S80" s="310">
        <f>'[19]Раз.пос.(Пр.2-24) '!S80+'[19]Перевод ДН дети'!S80+'[19]Перевод 2 этапа ДВН'!S80+'[19]Перевод 2 этапа УД'!S80</f>
        <v>0</v>
      </c>
    </row>
    <row r="81" spans="1:19" x14ac:dyDescent="0.2">
      <c r="A81" s="309">
        <v>71</v>
      </c>
      <c r="B81" s="222" t="s">
        <v>50</v>
      </c>
      <c r="C81" s="220" t="s">
        <v>219</v>
      </c>
      <c r="D81" s="305">
        <f t="shared" si="9"/>
        <v>98884</v>
      </c>
      <c r="E81" s="310">
        <f t="shared" si="6"/>
        <v>0</v>
      </c>
      <c r="F81" s="310">
        <v>0</v>
      </c>
      <c r="G81" s="310">
        <v>0</v>
      </c>
      <c r="H81" s="310">
        <f t="shared" si="7"/>
        <v>91999</v>
      </c>
      <c r="I81" s="336">
        <f>'[19]Раз.пос.(Пр.2-24) '!I81+'[19]Перевод ДН дети'!I81+'[19]Перевод 2 этапа ДВН'!I81+'[19]Перевод 2 этапа УД'!I81</f>
        <v>0</v>
      </c>
      <c r="J81" s="310">
        <v>59037</v>
      </c>
      <c r="K81" s="310">
        <v>0</v>
      </c>
      <c r="L81" s="310">
        <v>32962</v>
      </c>
      <c r="M81" s="310">
        <f>'[19]Раз.пос.(Пр.2-24) '!M81+'[19]Перевод ДН дети'!M81+'[19]Перевод 2 этапа ДВН'!M81+'[19]Перевод 2 этапа УД'!M81</f>
        <v>3074</v>
      </c>
      <c r="N81" s="310">
        <f>'[19]Раз.пос.(Пр.2-24) '!N81+'[19]Перевод ДН дети'!N81+'[19]Перевод 2 этапа ДВН'!N81+'[19]Перевод 2 этапа УД'!N81</f>
        <v>1318</v>
      </c>
      <c r="O81" s="305">
        <f t="shared" si="8"/>
        <v>2493</v>
      </c>
      <c r="P81" s="310">
        <v>0</v>
      </c>
      <c r="Q81" s="310">
        <f>'[19]Раз.пос.(Пр.2-24) '!Q81+'[19]Перевод ДН дети'!Q81+'[19]Перевод 2 этапа ДВН'!Q81+'[19]Перевод 2 этапа УД'!Q81</f>
        <v>0</v>
      </c>
      <c r="R81" s="310">
        <v>2493</v>
      </c>
      <c r="S81" s="310">
        <f>'[19]Раз.пос.(Пр.2-24) '!S81+'[19]Перевод ДН дети'!S81+'[19]Перевод 2 этапа ДВН'!S81+'[19]Перевод 2 этапа УД'!S81</f>
        <v>0</v>
      </c>
    </row>
    <row r="82" spans="1:19" x14ac:dyDescent="0.2">
      <c r="A82" s="309">
        <v>72</v>
      </c>
      <c r="B82" s="219" t="s">
        <v>52</v>
      </c>
      <c r="C82" s="220" t="s">
        <v>220</v>
      </c>
      <c r="D82" s="305">
        <f t="shared" si="9"/>
        <v>37217</v>
      </c>
      <c r="E82" s="310">
        <f t="shared" si="6"/>
        <v>0</v>
      </c>
      <c r="F82" s="310">
        <v>0</v>
      </c>
      <c r="G82" s="310">
        <v>0</v>
      </c>
      <c r="H82" s="310">
        <f t="shared" si="7"/>
        <v>35753</v>
      </c>
      <c r="I82" s="336">
        <f>'[19]Раз.пос.(Пр.2-24) '!I82+'[19]Перевод ДН дети'!I82+'[19]Перевод 2 этапа ДВН'!I82+'[19]Перевод 2 этапа УД'!I82</f>
        <v>0</v>
      </c>
      <c r="J82" s="310">
        <v>16818</v>
      </c>
      <c r="K82" s="310">
        <v>6348</v>
      </c>
      <c r="L82" s="310">
        <v>12587</v>
      </c>
      <c r="M82" s="310">
        <f>'[19]Раз.пос.(Пр.2-24) '!M82+'[19]Перевод ДН дети'!M82+'[19]Перевод 2 этапа ДВН'!M82+'[19]Перевод 2 этапа УД'!M82</f>
        <v>1025</v>
      </c>
      <c r="N82" s="310">
        <f>'[19]Раз.пос.(Пр.2-24) '!N82+'[19]Перевод ДН дети'!N82+'[19]Перевод 2 этапа ДВН'!N82+'[19]Перевод 2 этапа УД'!N82</f>
        <v>439</v>
      </c>
      <c r="O82" s="305">
        <f t="shared" si="8"/>
        <v>0</v>
      </c>
      <c r="P82" s="310">
        <v>0</v>
      </c>
      <c r="Q82" s="310">
        <f>'[19]Раз.пос.(Пр.2-24) '!Q82+'[19]Перевод ДН дети'!Q82+'[19]Перевод 2 этапа ДВН'!Q82+'[19]Перевод 2 этапа УД'!Q82</f>
        <v>0</v>
      </c>
      <c r="R82" s="310">
        <v>0</v>
      </c>
      <c r="S82" s="310">
        <f>'[19]Раз.пос.(Пр.2-24) '!S82+'[19]Перевод ДН дети'!S82+'[19]Перевод 2 этапа ДВН'!S82+'[19]Перевод 2 этапа УД'!S82</f>
        <v>0</v>
      </c>
    </row>
    <row r="83" spans="1:19" x14ac:dyDescent="0.2">
      <c r="A83" s="309">
        <v>73</v>
      </c>
      <c r="B83" s="222" t="s">
        <v>44</v>
      </c>
      <c r="C83" s="220" t="s">
        <v>221</v>
      </c>
      <c r="D83" s="305">
        <f t="shared" si="9"/>
        <v>45341</v>
      </c>
      <c r="E83" s="310">
        <f t="shared" si="6"/>
        <v>0</v>
      </c>
      <c r="F83" s="310">
        <v>0</v>
      </c>
      <c r="G83" s="310">
        <v>0</v>
      </c>
      <c r="H83" s="310">
        <f t="shared" si="7"/>
        <v>45341</v>
      </c>
      <c r="I83" s="336">
        <f>'[19]Раз.пос.(Пр.2-24) '!I83+'[19]Перевод ДН дети'!I83+'[19]Перевод 2 этапа ДВН'!I83+'[19]Перевод 2 этапа УД'!I83</f>
        <v>0</v>
      </c>
      <c r="J83" s="310">
        <v>15854</v>
      </c>
      <c r="K83" s="310">
        <v>4328</v>
      </c>
      <c r="L83" s="310">
        <v>25159</v>
      </c>
      <c r="M83" s="310">
        <f>'[19]Раз.пос.(Пр.2-24) '!M83+'[19]Перевод ДН дети'!M83+'[19]Перевод 2 этапа ДВН'!M83+'[19]Перевод 2 этапа УД'!M83</f>
        <v>0</v>
      </c>
      <c r="N83" s="310">
        <f>'[19]Раз.пос.(Пр.2-24) '!N83+'[19]Перевод ДН дети'!N83+'[19]Перевод 2 этапа ДВН'!N83+'[19]Перевод 2 этапа УД'!N83</f>
        <v>0</v>
      </c>
      <c r="O83" s="305">
        <f t="shared" si="8"/>
        <v>0</v>
      </c>
      <c r="P83" s="310">
        <v>0</v>
      </c>
      <c r="Q83" s="310">
        <f>'[19]Раз.пос.(Пр.2-24) '!Q83+'[19]Перевод ДН дети'!Q83+'[19]Перевод 2 этапа ДВН'!Q83+'[19]Перевод 2 этапа УД'!Q83</f>
        <v>0</v>
      </c>
      <c r="R83" s="310">
        <v>0</v>
      </c>
      <c r="S83" s="310">
        <f>'[19]Раз.пос.(Пр.2-24) '!S83+'[19]Перевод ДН дети'!S83+'[19]Перевод 2 этапа ДВН'!S83+'[19]Перевод 2 этапа УД'!S83</f>
        <v>0</v>
      </c>
    </row>
    <row r="84" spans="1:19" x14ac:dyDescent="0.2">
      <c r="A84" s="309">
        <v>74</v>
      </c>
      <c r="B84" s="222" t="s">
        <v>54</v>
      </c>
      <c r="C84" s="220" t="s">
        <v>222</v>
      </c>
      <c r="D84" s="305">
        <f t="shared" si="9"/>
        <v>89795</v>
      </c>
      <c r="E84" s="310">
        <f t="shared" si="6"/>
        <v>0</v>
      </c>
      <c r="F84" s="310">
        <v>0</v>
      </c>
      <c r="G84" s="310">
        <v>0</v>
      </c>
      <c r="H84" s="310">
        <f t="shared" si="7"/>
        <v>72773</v>
      </c>
      <c r="I84" s="336">
        <f>'[19]Раз.пос.(Пр.2-24) '!I84+'[19]Перевод ДН дети'!I84+'[19]Перевод 2 этапа ДВН'!I84+'[19]Перевод 2 этапа УД'!I84</f>
        <v>0</v>
      </c>
      <c r="J84" s="310">
        <v>40741</v>
      </c>
      <c r="K84" s="310">
        <v>2300</v>
      </c>
      <c r="L84" s="310">
        <v>29732</v>
      </c>
      <c r="M84" s="310">
        <f>'[19]Раз.пос.(Пр.2-24) '!M84+'[19]Перевод ДН дети'!M84+'[19]Перевод 2 этапа ДВН'!M84+'[19]Перевод 2 этапа УД'!M84</f>
        <v>2050</v>
      </c>
      <c r="N84" s="310">
        <f>'[19]Раз.пос.(Пр.2-24) '!N84+'[19]Перевод ДН дети'!N84+'[19]Перевод 2 этапа ДВН'!N84+'[19]Перевод 2 этапа УД'!N84</f>
        <v>878</v>
      </c>
      <c r="O84" s="305">
        <f t="shared" si="8"/>
        <v>14094</v>
      </c>
      <c r="P84" s="310">
        <v>4350</v>
      </c>
      <c r="Q84" s="310">
        <f>'[19]Раз.пос.(Пр.2-24) '!Q84+'[19]Перевод ДН дети'!Q84+'[19]Перевод 2 этапа ДВН'!Q84+'[19]Перевод 2 этапа УД'!Q84</f>
        <v>0</v>
      </c>
      <c r="R84" s="310">
        <v>9744</v>
      </c>
      <c r="S84" s="310">
        <f>'[19]Раз.пос.(Пр.2-24) '!S84+'[19]Перевод ДН дети'!S84+'[19]Перевод 2 этапа ДВН'!S84+'[19]Перевод 2 этапа УД'!S84</f>
        <v>0</v>
      </c>
    </row>
    <row r="85" spans="1:19" x14ac:dyDescent="0.2">
      <c r="A85" s="309">
        <v>75</v>
      </c>
      <c r="B85" s="222" t="s">
        <v>36</v>
      </c>
      <c r="C85" s="220" t="s">
        <v>37</v>
      </c>
      <c r="D85" s="305">
        <f t="shared" si="9"/>
        <v>67621</v>
      </c>
      <c r="E85" s="310">
        <f t="shared" si="6"/>
        <v>0</v>
      </c>
      <c r="F85" s="310">
        <v>0</v>
      </c>
      <c r="G85" s="310">
        <v>0</v>
      </c>
      <c r="H85" s="310">
        <f t="shared" si="7"/>
        <v>67621</v>
      </c>
      <c r="I85" s="336">
        <f>'[19]Раз.пос.(Пр.2-24) '!I85+'[19]Перевод ДН дети'!I85+'[19]Перевод 2 этапа ДВН'!I85+'[19]Перевод 2 этапа УД'!I85</f>
        <v>0</v>
      </c>
      <c r="J85" s="310">
        <v>4842</v>
      </c>
      <c r="K85" s="310">
        <v>0</v>
      </c>
      <c r="L85" s="310">
        <v>62779</v>
      </c>
      <c r="M85" s="310">
        <f>'[19]Раз.пос.(Пр.2-24) '!M85+'[19]Перевод ДН дети'!M85+'[19]Перевод 2 этапа ДВН'!M85+'[19]Перевод 2 этапа УД'!M85</f>
        <v>0</v>
      </c>
      <c r="N85" s="310">
        <f>'[19]Раз.пос.(Пр.2-24) '!N85+'[19]Перевод ДН дети'!N85+'[19]Перевод 2 этапа ДВН'!N85+'[19]Перевод 2 этапа УД'!N85</f>
        <v>0</v>
      </c>
      <c r="O85" s="305">
        <f t="shared" si="8"/>
        <v>0</v>
      </c>
      <c r="P85" s="310">
        <v>0</v>
      </c>
      <c r="Q85" s="310">
        <f>'[19]Раз.пос.(Пр.2-24) '!Q85+'[19]Перевод ДН дети'!Q85+'[19]Перевод 2 этапа ДВН'!Q85+'[19]Перевод 2 этапа УД'!Q85</f>
        <v>0</v>
      </c>
      <c r="R85" s="310">
        <v>0</v>
      </c>
      <c r="S85" s="310">
        <f>'[19]Раз.пос.(Пр.2-24) '!S85+'[19]Перевод ДН дети'!S85+'[19]Перевод 2 этапа ДВН'!S85+'[19]Перевод 2 этапа УД'!S85</f>
        <v>0</v>
      </c>
    </row>
    <row r="86" spans="1:19" x14ac:dyDescent="0.2">
      <c r="A86" s="309">
        <v>76</v>
      </c>
      <c r="B86" s="222" t="s">
        <v>48</v>
      </c>
      <c r="C86" s="220" t="s">
        <v>223</v>
      </c>
      <c r="D86" s="305">
        <f t="shared" si="9"/>
        <v>39935</v>
      </c>
      <c r="E86" s="310">
        <f t="shared" si="6"/>
        <v>0</v>
      </c>
      <c r="F86" s="310">
        <v>0</v>
      </c>
      <c r="G86" s="310">
        <v>0</v>
      </c>
      <c r="H86" s="310">
        <f t="shared" si="7"/>
        <v>36935</v>
      </c>
      <c r="I86" s="336">
        <f>'[19]Раз.пос.(Пр.2-24) '!I86+'[19]Перевод ДН дети'!I86+'[19]Перевод 2 этапа ДВН'!I86+'[19]Перевод 2 этапа УД'!I86</f>
        <v>0</v>
      </c>
      <c r="J86" s="310">
        <v>23763</v>
      </c>
      <c r="K86" s="310">
        <v>4900</v>
      </c>
      <c r="L86" s="310">
        <v>8272</v>
      </c>
      <c r="M86" s="310">
        <f>'[19]Раз.пос.(Пр.2-24) '!M86+'[19]Перевод ДН дети'!M86+'[19]Перевод 2 этапа ДВН'!M86+'[19]Перевод 2 этапа УД'!M86</f>
        <v>0</v>
      </c>
      <c r="N86" s="310">
        <f>'[19]Раз.пос.(Пр.2-24) '!N86+'[19]Перевод ДН дети'!N86+'[19]Перевод 2 этапа ДВН'!N86+'[19]Перевод 2 этапа УД'!N86</f>
        <v>0</v>
      </c>
      <c r="O86" s="305">
        <f t="shared" si="8"/>
        <v>3000</v>
      </c>
      <c r="P86" s="310">
        <v>0</v>
      </c>
      <c r="Q86" s="310">
        <f>'[19]Раз.пос.(Пр.2-24) '!Q86+'[19]Перевод ДН дети'!Q86+'[19]Перевод 2 этапа ДВН'!Q86+'[19]Перевод 2 этапа УД'!Q86</f>
        <v>0</v>
      </c>
      <c r="R86" s="310">
        <v>3000</v>
      </c>
      <c r="S86" s="310">
        <f>'[19]Раз.пос.(Пр.2-24) '!S86+'[19]Перевод ДН дети'!S86+'[19]Перевод 2 этапа ДВН'!S86+'[19]Перевод 2 этапа УД'!S86</f>
        <v>0</v>
      </c>
    </row>
    <row r="87" spans="1:19" x14ac:dyDescent="0.2">
      <c r="A87" s="309">
        <v>77</v>
      </c>
      <c r="B87" s="222" t="s">
        <v>224</v>
      </c>
      <c r="C87" s="220" t="s">
        <v>225</v>
      </c>
      <c r="D87" s="305">
        <f t="shared" si="9"/>
        <v>14500</v>
      </c>
      <c r="E87" s="310">
        <f t="shared" si="6"/>
        <v>14500</v>
      </c>
      <c r="F87" s="310">
        <v>0</v>
      </c>
      <c r="G87" s="310">
        <v>14500</v>
      </c>
      <c r="H87" s="310">
        <f t="shared" si="7"/>
        <v>0</v>
      </c>
      <c r="I87" s="336">
        <f>'[19]Раз.пос.(Пр.2-24) '!I87+'[19]Перевод ДН дети'!I87+'[19]Перевод 2 этапа ДВН'!I87+'[19]Перевод 2 этапа УД'!I87</f>
        <v>0</v>
      </c>
      <c r="J87" s="310">
        <v>0</v>
      </c>
      <c r="K87" s="310">
        <v>0</v>
      </c>
      <c r="L87" s="310">
        <v>0</v>
      </c>
      <c r="M87" s="310">
        <f>'[19]Раз.пос.(Пр.2-24) '!M87+'[19]Перевод ДН дети'!M87+'[19]Перевод 2 этапа ДВН'!M87+'[19]Перевод 2 этапа УД'!M87</f>
        <v>0</v>
      </c>
      <c r="N87" s="310">
        <f>'[19]Раз.пос.(Пр.2-24) '!N87+'[19]Перевод ДН дети'!N87+'[19]Перевод 2 этапа ДВН'!N87+'[19]Перевод 2 этапа УД'!N87</f>
        <v>0</v>
      </c>
      <c r="O87" s="305">
        <f t="shared" si="8"/>
        <v>0</v>
      </c>
      <c r="P87" s="310">
        <v>0</v>
      </c>
      <c r="Q87" s="310">
        <f>'[19]Раз.пос.(Пр.2-24) '!Q87+'[19]Перевод ДН дети'!Q87+'[19]Перевод 2 этапа ДВН'!Q87+'[19]Перевод 2 этапа УД'!Q87</f>
        <v>0</v>
      </c>
      <c r="R87" s="310">
        <v>0</v>
      </c>
      <c r="S87" s="310">
        <f>'[19]Раз.пос.(Пр.2-24) '!S87+'[19]Перевод ДН дети'!S87+'[19]Перевод 2 этапа ДВН'!S87+'[19]Перевод 2 этапа УД'!S87</f>
        <v>0</v>
      </c>
    </row>
    <row r="88" spans="1:19" x14ac:dyDescent="0.2">
      <c r="A88" s="309">
        <v>78</v>
      </c>
      <c r="B88" s="224" t="s">
        <v>226</v>
      </c>
      <c r="C88" s="220" t="s">
        <v>227</v>
      </c>
      <c r="D88" s="305">
        <f t="shared" si="9"/>
        <v>0</v>
      </c>
      <c r="E88" s="310">
        <f t="shared" si="6"/>
        <v>0</v>
      </c>
      <c r="F88" s="310">
        <v>0</v>
      </c>
      <c r="G88" s="310">
        <v>0</v>
      </c>
      <c r="H88" s="310">
        <f t="shared" si="7"/>
        <v>0</v>
      </c>
      <c r="I88" s="336">
        <f>'[19]Раз.пос.(Пр.2-24) '!I88+'[19]Перевод ДН дети'!I88+'[19]Перевод 2 этапа ДВН'!I88+'[19]Перевод 2 этапа УД'!I88</f>
        <v>0</v>
      </c>
      <c r="J88" s="310">
        <v>0</v>
      </c>
      <c r="K88" s="310">
        <v>0</v>
      </c>
      <c r="L88" s="310">
        <v>0</v>
      </c>
      <c r="M88" s="310">
        <f>'[19]Раз.пос.(Пр.2-24) '!M88+'[19]Перевод ДН дети'!M88+'[19]Перевод 2 этапа ДВН'!M88+'[19]Перевод 2 этапа УД'!M88</f>
        <v>0</v>
      </c>
      <c r="N88" s="310">
        <f>'[19]Раз.пос.(Пр.2-24) '!N88+'[19]Перевод ДН дети'!N88+'[19]Перевод 2 этапа ДВН'!N88+'[19]Перевод 2 этапа УД'!N88</f>
        <v>0</v>
      </c>
      <c r="O88" s="305">
        <f t="shared" si="8"/>
        <v>0</v>
      </c>
      <c r="P88" s="310">
        <v>0</v>
      </c>
      <c r="Q88" s="310">
        <f>'[19]Раз.пос.(Пр.2-24) '!Q88+'[19]Перевод ДН дети'!Q88+'[19]Перевод 2 этапа ДВН'!Q88+'[19]Перевод 2 этапа УД'!Q88</f>
        <v>0</v>
      </c>
      <c r="R88" s="310">
        <v>0</v>
      </c>
      <c r="S88" s="310">
        <f>'[19]Раз.пос.(Пр.2-24) '!S88+'[19]Перевод ДН дети'!S88+'[19]Перевод 2 этапа ДВН'!S88+'[19]Перевод 2 этапа УД'!S88</f>
        <v>0</v>
      </c>
    </row>
    <row r="89" spans="1:19" ht="24" x14ac:dyDescent="0.2">
      <c r="A89" s="1008">
        <v>79</v>
      </c>
      <c r="B89" s="1011" t="s">
        <v>228</v>
      </c>
      <c r="C89" s="314" t="s">
        <v>229</v>
      </c>
      <c r="D89" s="305">
        <f t="shared" si="9"/>
        <v>22990</v>
      </c>
      <c r="E89" s="310">
        <f t="shared" si="6"/>
        <v>3600</v>
      </c>
      <c r="F89" s="310">
        <v>3600</v>
      </c>
      <c r="G89" s="310">
        <v>0</v>
      </c>
      <c r="H89" s="310">
        <f t="shared" si="7"/>
        <v>4854</v>
      </c>
      <c r="I89" s="336">
        <f>'[19]Раз.пос.(Пр.2-24) '!I89+'[19]Перевод ДН дети'!I89+'[19]Перевод 2 этапа ДВН'!I89+'[19]Перевод 2 этапа УД'!I89</f>
        <v>0</v>
      </c>
      <c r="J89" s="310">
        <v>1398</v>
      </c>
      <c r="K89" s="310">
        <v>0</v>
      </c>
      <c r="L89" s="310">
        <v>3456</v>
      </c>
      <c r="M89" s="310">
        <f>'[19]Раз.пос.(Пр.2-24) '!M89+'[19]Перевод ДН дети'!M89+'[19]Перевод 2 этапа ДВН'!M89+'[19]Перевод 2 этапа УД'!M89</f>
        <v>0</v>
      </c>
      <c r="N89" s="310">
        <f>'[19]Раз.пос.(Пр.2-24) '!N89+'[19]Перевод ДН дети'!N89+'[19]Перевод 2 этапа ДВН'!N89+'[19]Перевод 2 этапа УД'!N89</f>
        <v>0</v>
      </c>
      <c r="O89" s="305">
        <f t="shared" si="8"/>
        <v>14536</v>
      </c>
      <c r="P89" s="310">
        <v>0</v>
      </c>
      <c r="Q89" s="310">
        <f>'[19]Раз.пос.(Пр.2-24) '!Q89+'[19]Перевод ДН дети'!Q89+'[19]Перевод 2 этапа ДВН'!Q89+'[19]Перевод 2 этапа УД'!Q89</f>
        <v>0</v>
      </c>
      <c r="R89" s="310">
        <v>14536</v>
      </c>
      <c r="S89" s="310">
        <f>'[19]Раз.пос.(Пр.2-24) '!S89+'[19]Перевод ДН дети'!S89+'[19]Перевод 2 этапа ДВН'!S89+'[19]Перевод 2 этапа УД'!S89</f>
        <v>0</v>
      </c>
    </row>
    <row r="90" spans="1:19" ht="36" x14ac:dyDescent="0.2">
      <c r="A90" s="1009"/>
      <c r="B90" s="1012"/>
      <c r="C90" s="220" t="s">
        <v>230</v>
      </c>
      <c r="D90" s="305">
        <f t="shared" si="9"/>
        <v>11390</v>
      </c>
      <c r="E90" s="310">
        <f t="shared" si="6"/>
        <v>0</v>
      </c>
      <c r="F90" s="310">
        <v>0</v>
      </c>
      <c r="G90" s="310">
        <v>0</v>
      </c>
      <c r="H90" s="310">
        <f t="shared" si="7"/>
        <v>4854</v>
      </c>
      <c r="I90" s="336">
        <f>'[19]Раз.пос.(Пр.2-24) '!I90+'[19]Перевод ДН дети'!I90+'[19]Перевод 2 этапа ДВН'!I90+'[19]Перевод 2 этапа УД'!I90</f>
        <v>0</v>
      </c>
      <c r="J90" s="310">
        <v>1398</v>
      </c>
      <c r="K90" s="310">
        <v>0</v>
      </c>
      <c r="L90" s="310">
        <v>3456</v>
      </c>
      <c r="M90" s="310">
        <f>'[19]Раз.пос.(Пр.2-24) '!M90+'[19]Перевод ДН дети'!M90+'[19]Перевод 2 этапа ДВН'!M90+'[19]Перевод 2 этапа УД'!M90</f>
        <v>0</v>
      </c>
      <c r="N90" s="310">
        <f>'[19]Раз.пос.(Пр.2-24) '!N90+'[19]Перевод ДН дети'!N90+'[19]Перевод 2 этапа ДВН'!N90+'[19]Перевод 2 этапа УД'!N90</f>
        <v>0</v>
      </c>
      <c r="O90" s="305">
        <f t="shared" si="8"/>
        <v>6536</v>
      </c>
      <c r="P90" s="310">
        <v>0</v>
      </c>
      <c r="Q90" s="310">
        <f>'[19]Раз.пос.(Пр.2-24) '!Q90+'[19]Перевод ДН дети'!Q90+'[19]Перевод 2 этапа ДВН'!Q90+'[19]Перевод 2 этапа УД'!Q90</f>
        <v>0</v>
      </c>
      <c r="R90" s="310">
        <v>6536</v>
      </c>
      <c r="S90" s="310">
        <f>'[19]Раз.пос.(Пр.2-24) '!S90+'[19]Перевод ДН дети'!S90+'[19]Перевод 2 этапа ДВН'!S90+'[19]Перевод 2 этапа УД'!S90</f>
        <v>0</v>
      </c>
    </row>
    <row r="91" spans="1:19" ht="24" x14ac:dyDescent="0.2">
      <c r="A91" s="1009"/>
      <c r="B91" s="1012"/>
      <c r="C91" s="220" t="s">
        <v>231</v>
      </c>
      <c r="D91" s="305">
        <f t="shared" si="9"/>
        <v>3600</v>
      </c>
      <c r="E91" s="310">
        <f t="shared" si="6"/>
        <v>3600</v>
      </c>
      <c r="F91" s="310">
        <v>3600</v>
      </c>
      <c r="G91" s="310">
        <v>0</v>
      </c>
      <c r="H91" s="310">
        <f t="shared" si="7"/>
        <v>0</v>
      </c>
      <c r="I91" s="336">
        <f>'[19]Раз.пос.(Пр.2-24) '!I91+'[19]Перевод ДН дети'!I91+'[19]Перевод 2 этапа ДВН'!I91+'[19]Перевод 2 этапа УД'!I91</f>
        <v>0</v>
      </c>
      <c r="J91" s="310">
        <v>0</v>
      </c>
      <c r="K91" s="310">
        <v>0</v>
      </c>
      <c r="L91" s="310">
        <v>0</v>
      </c>
      <c r="M91" s="310">
        <f>'[19]Раз.пос.(Пр.2-24) '!M91+'[19]Перевод ДН дети'!M91+'[19]Перевод 2 этапа ДВН'!M91+'[19]Перевод 2 этапа УД'!M91</f>
        <v>0</v>
      </c>
      <c r="N91" s="310">
        <f>'[19]Раз.пос.(Пр.2-24) '!N91+'[19]Перевод ДН дети'!N91+'[19]Перевод 2 этапа ДВН'!N91+'[19]Перевод 2 этапа УД'!N91</f>
        <v>0</v>
      </c>
      <c r="O91" s="305">
        <f t="shared" si="8"/>
        <v>0</v>
      </c>
      <c r="P91" s="310">
        <v>0</v>
      </c>
      <c r="Q91" s="310">
        <f>'[19]Раз.пос.(Пр.2-24) '!Q91+'[19]Перевод ДН дети'!Q91+'[19]Перевод 2 этапа ДВН'!Q91+'[19]Перевод 2 этапа УД'!Q91</f>
        <v>0</v>
      </c>
      <c r="R91" s="310">
        <v>0</v>
      </c>
      <c r="S91" s="310">
        <f>'[19]Раз.пос.(Пр.2-24) '!S91+'[19]Перевод ДН дети'!S91+'[19]Перевод 2 этапа ДВН'!S91+'[19]Перевод 2 этапа УД'!S91</f>
        <v>0</v>
      </c>
    </row>
    <row r="92" spans="1:19" ht="36" x14ac:dyDescent="0.2">
      <c r="A92" s="1010"/>
      <c r="B92" s="1013"/>
      <c r="C92" s="315" t="s">
        <v>232</v>
      </c>
      <c r="D92" s="305">
        <f t="shared" si="9"/>
        <v>8000</v>
      </c>
      <c r="E92" s="310">
        <f t="shared" si="6"/>
        <v>0</v>
      </c>
      <c r="F92" s="310">
        <v>0</v>
      </c>
      <c r="G92" s="310">
        <v>0</v>
      </c>
      <c r="H92" s="310">
        <f t="shared" si="7"/>
        <v>0</v>
      </c>
      <c r="I92" s="336">
        <f>'[19]Раз.пос.(Пр.2-24) '!I92+'[19]Перевод ДН дети'!I92+'[19]Перевод 2 этапа ДВН'!I92+'[19]Перевод 2 этапа УД'!I92</f>
        <v>0</v>
      </c>
      <c r="J92" s="310">
        <v>0</v>
      </c>
      <c r="K92" s="310">
        <v>0</v>
      </c>
      <c r="L92" s="310">
        <v>0</v>
      </c>
      <c r="M92" s="310">
        <f>'[19]Раз.пос.(Пр.2-24) '!M92+'[19]Перевод ДН дети'!M92+'[19]Перевод 2 этапа ДВН'!M92+'[19]Перевод 2 этапа УД'!M92</f>
        <v>0</v>
      </c>
      <c r="N92" s="310">
        <f>'[19]Раз.пос.(Пр.2-24) '!N92+'[19]Перевод ДН дети'!N92+'[19]Перевод 2 этапа ДВН'!N92+'[19]Перевод 2 этапа УД'!N92</f>
        <v>0</v>
      </c>
      <c r="O92" s="305">
        <f t="shared" si="8"/>
        <v>8000</v>
      </c>
      <c r="P92" s="310">
        <v>0</v>
      </c>
      <c r="Q92" s="310">
        <f>'[19]Раз.пос.(Пр.2-24) '!Q92+'[19]Перевод ДН дети'!Q92+'[19]Перевод 2 этапа ДВН'!Q92+'[19]Перевод 2 этапа УД'!Q92</f>
        <v>0</v>
      </c>
      <c r="R92" s="310">
        <v>8000</v>
      </c>
      <c r="S92" s="310">
        <f>'[19]Раз.пос.(Пр.2-24) '!S92+'[19]Перевод ДН дети'!S92+'[19]Перевод 2 этапа ДВН'!S92+'[19]Перевод 2 этапа УД'!S92</f>
        <v>0</v>
      </c>
    </row>
    <row r="93" spans="1:19" ht="24" x14ac:dyDescent="0.2">
      <c r="A93" s="309">
        <v>80</v>
      </c>
      <c r="B93" s="224" t="s">
        <v>233</v>
      </c>
      <c r="C93" s="220" t="s">
        <v>234</v>
      </c>
      <c r="D93" s="305">
        <f t="shared" si="9"/>
        <v>8400</v>
      </c>
      <c r="E93" s="310">
        <f t="shared" si="6"/>
        <v>8400</v>
      </c>
      <c r="F93" s="310">
        <v>392</v>
      </c>
      <c r="G93" s="310">
        <v>8008</v>
      </c>
      <c r="H93" s="310">
        <f t="shared" si="7"/>
        <v>0</v>
      </c>
      <c r="I93" s="336">
        <f>'[19]Раз.пос.(Пр.2-24) '!I93+'[19]Перевод ДН дети'!I93+'[19]Перевод 2 этапа ДВН'!I93+'[19]Перевод 2 этапа УД'!I93</f>
        <v>0</v>
      </c>
      <c r="J93" s="310">
        <v>0</v>
      </c>
      <c r="K93" s="310">
        <v>0</v>
      </c>
      <c r="L93" s="310">
        <v>0</v>
      </c>
      <c r="M93" s="310">
        <f>'[19]Раз.пос.(Пр.2-24) '!M93+'[19]Перевод ДН дети'!M93+'[19]Перевод 2 этапа ДВН'!M93+'[19]Перевод 2 этапа УД'!M93</f>
        <v>0</v>
      </c>
      <c r="N93" s="310">
        <f>'[19]Раз.пос.(Пр.2-24) '!N93+'[19]Перевод ДН дети'!N93+'[19]Перевод 2 этапа ДВН'!N93+'[19]Перевод 2 этапа УД'!N93</f>
        <v>0</v>
      </c>
      <c r="O93" s="305">
        <f t="shared" si="8"/>
        <v>0</v>
      </c>
      <c r="P93" s="310">
        <v>0</v>
      </c>
      <c r="Q93" s="310">
        <f>'[19]Раз.пос.(Пр.2-24) '!Q93+'[19]Перевод ДН дети'!Q93+'[19]Перевод 2 этапа ДВН'!Q93+'[19]Перевод 2 этапа УД'!Q93</f>
        <v>0</v>
      </c>
      <c r="R93" s="310">
        <v>0</v>
      </c>
      <c r="S93" s="310">
        <f>'[19]Раз.пос.(Пр.2-24) '!S93+'[19]Перевод ДН дети'!S93+'[19]Перевод 2 этапа ДВН'!S93+'[19]Перевод 2 этапа УД'!S93</f>
        <v>0</v>
      </c>
    </row>
    <row r="94" spans="1:19" x14ac:dyDescent="0.2">
      <c r="A94" s="309">
        <v>81</v>
      </c>
      <c r="B94" s="224" t="s">
        <v>235</v>
      </c>
      <c r="C94" s="220" t="s">
        <v>236</v>
      </c>
      <c r="D94" s="305">
        <f t="shared" si="9"/>
        <v>7310</v>
      </c>
      <c r="E94" s="310">
        <f t="shared" si="6"/>
        <v>0</v>
      </c>
      <c r="F94" s="310">
        <v>0</v>
      </c>
      <c r="G94" s="310">
        <v>0</v>
      </c>
      <c r="H94" s="310">
        <f t="shared" si="7"/>
        <v>7310</v>
      </c>
      <c r="I94" s="336">
        <f>'[19]Раз.пос.(Пр.2-24) '!I94+'[19]Перевод ДН дети'!I94+'[19]Перевод 2 этапа ДВН'!I94+'[19]Перевод 2 этапа УД'!I94</f>
        <v>0</v>
      </c>
      <c r="J94" s="310">
        <v>1595</v>
      </c>
      <c r="K94" s="310">
        <v>700</v>
      </c>
      <c r="L94" s="310">
        <v>5015</v>
      </c>
      <c r="M94" s="310">
        <f>'[19]Раз.пос.(Пр.2-24) '!M94+'[19]Перевод ДН дети'!M94+'[19]Перевод 2 этапа ДВН'!M94+'[19]Перевод 2 этапа УД'!M94</f>
        <v>0</v>
      </c>
      <c r="N94" s="310">
        <f>'[19]Раз.пос.(Пр.2-24) '!N94+'[19]Перевод ДН дети'!N94+'[19]Перевод 2 этапа ДВН'!N94+'[19]Перевод 2 этапа УД'!N94</f>
        <v>0</v>
      </c>
      <c r="O94" s="305">
        <f t="shared" si="8"/>
        <v>0</v>
      </c>
      <c r="P94" s="310">
        <v>0</v>
      </c>
      <c r="Q94" s="310">
        <f>'[19]Раз.пос.(Пр.2-24) '!Q94+'[19]Перевод ДН дети'!Q94+'[19]Перевод 2 этапа ДВН'!Q94+'[19]Перевод 2 этапа УД'!Q94</f>
        <v>0</v>
      </c>
      <c r="R94" s="310">
        <v>0</v>
      </c>
      <c r="S94" s="310">
        <f>'[19]Раз.пос.(Пр.2-24) '!S94+'[19]Перевод ДН дети'!S94+'[19]Перевод 2 этапа ДВН'!S94+'[19]Перевод 2 этапа УД'!S94</f>
        <v>0</v>
      </c>
    </row>
    <row r="95" spans="1:19" x14ac:dyDescent="0.2">
      <c r="A95" s="309">
        <v>82</v>
      </c>
      <c r="B95" s="219" t="s">
        <v>74</v>
      </c>
      <c r="C95" s="220" t="s">
        <v>237</v>
      </c>
      <c r="D95" s="305">
        <f t="shared" si="9"/>
        <v>18591</v>
      </c>
      <c r="E95" s="310">
        <f t="shared" si="6"/>
        <v>0</v>
      </c>
      <c r="F95" s="310">
        <v>0</v>
      </c>
      <c r="G95" s="310">
        <v>0</v>
      </c>
      <c r="H95" s="310">
        <f t="shared" si="7"/>
        <v>17127</v>
      </c>
      <c r="I95" s="336">
        <f>'[19]Раз.пос.(Пр.2-24) '!I95+'[19]Перевод ДН дети'!I95+'[19]Перевод 2 этапа ДВН'!I95+'[19]Перевод 2 этапа УД'!I95</f>
        <v>0</v>
      </c>
      <c r="J95" s="310">
        <v>6929</v>
      </c>
      <c r="K95" s="310">
        <v>1635</v>
      </c>
      <c r="L95" s="310">
        <v>8563</v>
      </c>
      <c r="M95" s="310">
        <f>'[19]Раз.пос.(Пр.2-24) '!M95+'[19]Перевод ДН дети'!M95+'[19]Перевод 2 этапа ДВН'!M95+'[19]Перевод 2 этапа УД'!M95</f>
        <v>1025</v>
      </c>
      <c r="N95" s="310">
        <f>'[19]Раз.пос.(Пр.2-24) '!N95+'[19]Перевод ДН дети'!N95+'[19]Перевод 2 этапа ДВН'!N95+'[19]Перевод 2 этапа УД'!N95</f>
        <v>439</v>
      </c>
      <c r="O95" s="305">
        <f t="shared" si="8"/>
        <v>0</v>
      </c>
      <c r="P95" s="310">
        <v>0</v>
      </c>
      <c r="Q95" s="310">
        <f>'[19]Раз.пос.(Пр.2-24) '!Q95+'[19]Перевод ДН дети'!Q95+'[19]Перевод 2 этапа ДВН'!Q95+'[19]Перевод 2 этапа УД'!Q95</f>
        <v>0</v>
      </c>
      <c r="R95" s="310">
        <v>0</v>
      </c>
      <c r="S95" s="310">
        <f>'[19]Раз.пос.(Пр.2-24) '!S95+'[19]Перевод ДН дети'!S95+'[19]Перевод 2 этапа ДВН'!S95+'[19]Перевод 2 этапа УД'!S95</f>
        <v>0</v>
      </c>
    </row>
    <row r="96" spans="1:19" x14ac:dyDescent="0.2">
      <c r="A96" s="309">
        <v>83</v>
      </c>
      <c r="B96" s="224" t="s">
        <v>38</v>
      </c>
      <c r="C96" s="220" t="s">
        <v>39</v>
      </c>
      <c r="D96" s="305">
        <f t="shared" si="9"/>
        <v>16254</v>
      </c>
      <c r="E96" s="310">
        <f t="shared" si="6"/>
        <v>0</v>
      </c>
      <c r="F96" s="310">
        <v>0</v>
      </c>
      <c r="G96" s="310">
        <v>0</v>
      </c>
      <c r="H96" s="310">
        <f t="shared" si="7"/>
        <v>16254</v>
      </c>
      <c r="I96" s="336">
        <f>'[19]Раз.пос.(Пр.2-24) '!I96+'[19]Перевод ДН дети'!I96+'[19]Перевод 2 этапа ДВН'!I96+'[19]Перевод 2 этапа УД'!I96</f>
        <v>0</v>
      </c>
      <c r="J96" s="310">
        <v>3156</v>
      </c>
      <c r="K96" s="310">
        <v>410</v>
      </c>
      <c r="L96" s="310">
        <v>12688</v>
      </c>
      <c r="M96" s="310">
        <f>'[19]Раз.пос.(Пр.2-24) '!M96+'[19]Перевод ДН дети'!M96+'[19]Перевод 2 этапа ДВН'!M96+'[19]Перевод 2 этапа УД'!M96</f>
        <v>0</v>
      </c>
      <c r="N96" s="310">
        <f>'[19]Раз.пос.(Пр.2-24) '!N96+'[19]Перевод ДН дети'!N96+'[19]Перевод 2 этапа ДВН'!N96+'[19]Перевод 2 этапа УД'!N96</f>
        <v>0</v>
      </c>
      <c r="O96" s="305">
        <f t="shared" si="8"/>
        <v>0</v>
      </c>
      <c r="P96" s="310">
        <v>0</v>
      </c>
      <c r="Q96" s="310">
        <f>'[19]Раз.пос.(Пр.2-24) '!Q96+'[19]Перевод ДН дети'!Q96+'[19]Перевод 2 этапа ДВН'!Q96+'[19]Перевод 2 этапа УД'!Q96</f>
        <v>0</v>
      </c>
      <c r="R96" s="310">
        <v>0</v>
      </c>
      <c r="S96" s="310">
        <f>'[19]Раз.пос.(Пр.2-24) '!S96+'[19]Перевод ДН дети'!S96+'[19]Перевод 2 этапа ДВН'!S96+'[19]Перевод 2 этапа УД'!S96</f>
        <v>0</v>
      </c>
    </row>
    <row r="97" spans="1:19" x14ac:dyDescent="0.2">
      <c r="A97" s="309">
        <v>84</v>
      </c>
      <c r="B97" s="219" t="s">
        <v>40</v>
      </c>
      <c r="C97" s="220" t="s">
        <v>41</v>
      </c>
      <c r="D97" s="305">
        <f t="shared" si="9"/>
        <v>13024</v>
      </c>
      <c r="E97" s="310">
        <f t="shared" si="6"/>
        <v>0</v>
      </c>
      <c r="F97" s="310">
        <v>0</v>
      </c>
      <c r="G97" s="310">
        <v>0</v>
      </c>
      <c r="H97" s="310">
        <f t="shared" si="7"/>
        <v>13024</v>
      </c>
      <c r="I97" s="336">
        <f>'[19]Раз.пос.(Пр.2-24) '!I97+'[19]Перевод ДН дети'!I97+'[19]Перевод 2 этапа ДВН'!I97+'[19]Перевод 2 этапа УД'!I97</f>
        <v>0</v>
      </c>
      <c r="J97" s="310">
        <v>3230</v>
      </c>
      <c r="K97" s="310">
        <v>360</v>
      </c>
      <c r="L97" s="310">
        <v>9434</v>
      </c>
      <c r="M97" s="310">
        <f>'[19]Раз.пос.(Пр.2-24) '!M97+'[19]Перевод ДН дети'!M97+'[19]Перевод 2 этапа ДВН'!M97+'[19]Перевод 2 этапа УД'!M97</f>
        <v>0</v>
      </c>
      <c r="N97" s="310">
        <f>'[19]Раз.пос.(Пр.2-24) '!N97+'[19]Перевод ДН дети'!N97+'[19]Перевод 2 этапа ДВН'!N97+'[19]Перевод 2 этапа УД'!N97</f>
        <v>0</v>
      </c>
      <c r="O97" s="305">
        <f t="shared" si="8"/>
        <v>0</v>
      </c>
      <c r="P97" s="310">
        <v>0</v>
      </c>
      <c r="Q97" s="310">
        <f>'[19]Раз.пос.(Пр.2-24) '!Q97+'[19]Перевод ДН дети'!Q97+'[19]Перевод 2 этапа ДВН'!Q97+'[19]Перевод 2 этапа УД'!Q97</f>
        <v>0</v>
      </c>
      <c r="R97" s="310">
        <v>0</v>
      </c>
      <c r="S97" s="310">
        <f>'[19]Раз.пос.(Пр.2-24) '!S97+'[19]Перевод ДН дети'!S97+'[19]Перевод 2 этапа ДВН'!S97+'[19]Перевод 2 этапа УД'!S97</f>
        <v>0</v>
      </c>
    </row>
    <row r="98" spans="1:19" x14ac:dyDescent="0.2">
      <c r="A98" s="309">
        <v>85</v>
      </c>
      <c r="B98" s="219" t="s">
        <v>238</v>
      </c>
      <c r="C98" s="220" t="s">
        <v>239</v>
      </c>
      <c r="D98" s="305">
        <f t="shared" si="9"/>
        <v>38838</v>
      </c>
      <c r="E98" s="310">
        <f t="shared" si="6"/>
        <v>0</v>
      </c>
      <c r="F98" s="310">
        <v>0</v>
      </c>
      <c r="G98" s="310">
        <v>0</v>
      </c>
      <c r="H98" s="310">
        <f t="shared" si="7"/>
        <v>38838</v>
      </c>
      <c r="I98" s="336">
        <f>'[19]Раз.пос.(Пр.2-24) '!I98+'[19]Перевод ДН дети'!I98+'[19]Перевод 2 этапа ДВН'!I98+'[19]Перевод 2 этапа УД'!I98</f>
        <v>0</v>
      </c>
      <c r="J98" s="310">
        <v>11531</v>
      </c>
      <c r="K98" s="310">
        <v>3581</v>
      </c>
      <c r="L98" s="310">
        <v>23726</v>
      </c>
      <c r="M98" s="310">
        <f>'[19]Раз.пос.(Пр.2-24) '!M98+'[19]Перевод ДН дети'!M98+'[19]Перевод 2 этапа ДВН'!M98+'[19]Перевод 2 этапа УД'!M98</f>
        <v>0</v>
      </c>
      <c r="N98" s="310">
        <f>'[19]Раз.пос.(Пр.2-24) '!N98+'[19]Перевод ДН дети'!N98+'[19]Перевод 2 этапа ДВН'!N98+'[19]Перевод 2 этапа УД'!N98</f>
        <v>0</v>
      </c>
      <c r="O98" s="305">
        <f t="shared" si="8"/>
        <v>0</v>
      </c>
      <c r="P98" s="310">
        <v>0</v>
      </c>
      <c r="Q98" s="310">
        <f>'[19]Раз.пос.(Пр.2-24) '!Q98+'[19]Перевод ДН дети'!Q98+'[19]Перевод 2 этапа ДВН'!Q98+'[19]Перевод 2 этапа УД'!Q98</f>
        <v>0</v>
      </c>
      <c r="R98" s="310">
        <v>0</v>
      </c>
      <c r="S98" s="310">
        <f>'[19]Раз.пос.(Пр.2-24) '!S98+'[19]Перевод ДН дети'!S98+'[19]Перевод 2 этапа ДВН'!S98+'[19]Перевод 2 этапа УД'!S98</f>
        <v>0</v>
      </c>
    </row>
    <row r="99" spans="1:19" x14ac:dyDescent="0.2">
      <c r="A99" s="309">
        <v>86</v>
      </c>
      <c r="B99" s="224" t="s">
        <v>240</v>
      </c>
      <c r="C99" s="220" t="s">
        <v>241</v>
      </c>
      <c r="D99" s="305">
        <f t="shared" si="9"/>
        <v>14648</v>
      </c>
      <c r="E99" s="310">
        <f t="shared" si="6"/>
        <v>0</v>
      </c>
      <c r="F99" s="310">
        <v>0</v>
      </c>
      <c r="G99" s="310">
        <v>0</v>
      </c>
      <c r="H99" s="310">
        <f t="shared" si="7"/>
        <v>13184</v>
      </c>
      <c r="I99" s="336">
        <f>'[19]Раз.пос.(Пр.2-24) '!I99+'[19]Перевод ДН дети'!I99+'[19]Перевод 2 этапа ДВН'!I99+'[19]Перевод 2 этапа УД'!I99</f>
        <v>0</v>
      </c>
      <c r="J99" s="310">
        <v>3655</v>
      </c>
      <c r="K99" s="310">
        <v>500</v>
      </c>
      <c r="L99" s="310">
        <v>9029</v>
      </c>
      <c r="M99" s="310">
        <f>'[19]Раз.пос.(Пр.2-24) '!M99+'[19]Перевод ДН дети'!M99+'[19]Перевод 2 этапа ДВН'!M99+'[19]Перевод 2 этапа УД'!M99</f>
        <v>1025</v>
      </c>
      <c r="N99" s="310">
        <f>'[19]Раз.пос.(Пр.2-24) '!N99+'[19]Перевод ДН дети'!N99+'[19]Перевод 2 этапа ДВН'!N99+'[19]Перевод 2 этапа УД'!N99</f>
        <v>439</v>
      </c>
      <c r="O99" s="305">
        <f t="shared" si="8"/>
        <v>0</v>
      </c>
      <c r="P99" s="310">
        <v>0</v>
      </c>
      <c r="Q99" s="310">
        <f>'[19]Раз.пос.(Пр.2-24) '!Q99+'[19]Перевод ДН дети'!Q99+'[19]Перевод 2 этапа ДВН'!Q99+'[19]Перевод 2 этапа УД'!Q99</f>
        <v>0</v>
      </c>
      <c r="R99" s="310">
        <v>0</v>
      </c>
      <c r="S99" s="310">
        <f>'[19]Раз.пос.(Пр.2-24) '!S99+'[19]Перевод ДН дети'!S99+'[19]Перевод 2 этапа ДВН'!S99+'[19]Перевод 2 этапа УД'!S99</f>
        <v>0</v>
      </c>
    </row>
    <row r="100" spans="1:19" x14ac:dyDescent="0.2">
      <c r="A100" s="309">
        <v>87</v>
      </c>
      <c r="B100" s="224" t="s">
        <v>88</v>
      </c>
      <c r="C100" s="220" t="s">
        <v>89</v>
      </c>
      <c r="D100" s="305">
        <f t="shared" si="9"/>
        <v>21547</v>
      </c>
      <c r="E100" s="310">
        <f t="shared" si="6"/>
        <v>0</v>
      </c>
      <c r="F100" s="310">
        <v>0</v>
      </c>
      <c r="G100" s="310">
        <v>0</v>
      </c>
      <c r="H100" s="310">
        <f t="shared" si="7"/>
        <v>20083</v>
      </c>
      <c r="I100" s="336">
        <f>'[19]Раз.пос.(Пр.2-24) '!I100+'[19]Перевод ДН дети'!I100+'[19]Перевод 2 этапа ДВН'!I100+'[19]Перевод 2 этапа УД'!I100</f>
        <v>0</v>
      </c>
      <c r="J100" s="310">
        <v>8734</v>
      </c>
      <c r="K100" s="310">
        <v>1282</v>
      </c>
      <c r="L100" s="310">
        <v>10067</v>
      </c>
      <c r="M100" s="310">
        <f>'[19]Раз.пос.(Пр.2-24) '!M100+'[19]Перевод ДН дети'!M100+'[19]Перевод 2 этапа ДВН'!M100+'[19]Перевод 2 этапа УД'!M100</f>
        <v>1025</v>
      </c>
      <c r="N100" s="310">
        <f>'[19]Раз.пос.(Пр.2-24) '!N100+'[19]Перевод ДН дети'!N100+'[19]Перевод 2 этапа ДВН'!N100+'[19]Перевод 2 этапа УД'!N100</f>
        <v>439</v>
      </c>
      <c r="O100" s="305">
        <f t="shared" si="8"/>
        <v>0</v>
      </c>
      <c r="P100" s="310">
        <v>0</v>
      </c>
      <c r="Q100" s="310">
        <f>'[19]Раз.пос.(Пр.2-24) '!Q100+'[19]Перевод ДН дети'!Q100+'[19]Перевод 2 этапа ДВН'!Q100+'[19]Перевод 2 этапа УД'!Q100</f>
        <v>0</v>
      </c>
      <c r="R100" s="310">
        <v>0</v>
      </c>
      <c r="S100" s="310">
        <f>'[19]Раз.пос.(Пр.2-24) '!S100+'[19]Перевод ДН дети'!S100+'[19]Перевод 2 этапа ДВН'!S100+'[19]Перевод 2 этапа УД'!S100</f>
        <v>0</v>
      </c>
    </row>
    <row r="101" spans="1:19" x14ac:dyDescent="0.2">
      <c r="A101" s="309">
        <v>88</v>
      </c>
      <c r="B101" s="222" t="s">
        <v>242</v>
      </c>
      <c r="C101" s="220" t="s">
        <v>243</v>
      </c>
      <c r="D101" s="305">
        <f t="shared" si="9"/>
        <v>53260</v>
      </c>
      <c r="E101" s="310">
        <f t="shared" si="6"/>
        <v>0</v>
      </c>
      <c r="F101" s="310">
        <v>0</v>
      </c>
      <c r="G101" s="310">
        <v>0</v>
      </c>
      <c r="H101" s="310">
        <f t="shared" si="7"/>
        <v>53228</v>
      </c>
      <c r="I101" s="336">
        <f>'[19]Раз.пос.(Пр.2-24) '!I101+'[19]Перевод ДН дети'!I101+'[19]Перевод 2 этапа ДВН'!I101+'[19]Перевод 2 этапа УД'!I101</f>
        <v>0</v>
      </c>
      <c r="J101" s="310">
        <v>7587</v>
      </c>
      <c r="K101" s="310">
        <v>1800</v>
      </c>
      <c r="L101" s="310">
        <v>43841</v>
      </c>
      <c r="M101" s="310">
        <f>'[19]Раз.пос.(Пр.2-24) '!M101+'[19]Перевод ДН дети'!M101+'[19]Перевод 2 этапа ДВН'!M101+'[19]Перевод 2 этапа УД'!M101</f>
        <v>0</v>
      </c>
      <c r="N101" s="310">
        <f>'[19]Раз.пос.(Пр.2-24) '!N101+'[19]Перевод ДН дети'!N101+'[19]Перевод 2 этапа ДВН'!N101+'[19]Перевод 2 этапа УД'!N101</f>
        <v>0</v>
      </c>
      <c r="O101" s="305">
        <f t="shared" si="8"/>
        <v>32</v>
      </c>
      <c r="P101" s="310">
        <v>0</v>
      </c>
      <c r="Q101" s="310">
        <f>'[19]Раз.пос.(Пр.2-24) '!Q101+'[19]Перевод ДН дети'!Q101+'[19]Перевод 2 этапа ДВН'!Q101+'[19]Перевод 2 этапа УД'!Q101</f>
        <v>0</v>
      </c>
      <c r="R101" s="310">
        <v>32</v>
      </c>
      <c r="S101" s="310">
        <f>'[19]Раз.пос.(Пр.2-24) '!S101+'[19]Перевод ДН дети'!S101+'[19]Перевод 2 этапа ДВН'!S101+'[19]Перевод 2 этапа УД'!S101</f>
        <v>0</v>
      </c>
    </row>
    <row r="102" spans="1:19" x14ac:dyDescent="0.2">
      <c r="A102" s="309">
        <v>89</v>
      </c>
      <c r="B102" s="222" t="s">
        <v>244</v>
      </c>
      <c r="C102" s="220" t="s">
        <v>245</v>
      </c>
      <c r="D102" s="305">
        <f t="shared" si="9"/>
        <v>32242</v>
      </c>
      <c r="E102" s="310">
        <f t="shared" si="6"/>
        <v>0</v>
      </c>
      <c r="F102" s="310">
        <v>0</v>
      </c>
      <c r="G102" s="310">
        <v>0</v>
      </c>
      <c r="H102" s="310">
        <f t="shared" si="7"/>
        <v>32215</v>
      </c>
      <c r="I102" s="336">
        <f>'[19]Раз.пос.(Пр.2-24) '!I102+'[19]Перевод ДН дети'!I102+'[19]Перевод 2 этапа ДВН'!I102+'[19]Перевод 2 этапа УД'!I102</f>
        <v>50</v>
      </c>
      <c r="J102" s="310">
        <v>12040</v>
      </c>
      <c r="K102" s="310">
        <v>1792</v>
      </c>
      <c r="L102" s="310">
        <v>18333</v>
      </c>
      <c r="M102" s="310">
        <f>'[19]Раз.пос.(Пр.2-24) '!M102+'[19]Перевод ДН дети'!M102+'[19]Перевод 2 этапа ДВН'!M102+'[19]Перевод 2 этапа УД'!M102</f>
        <v>0</v>
      </c>
      <c r="N102" s="310">
        <f>'[19]Раз.пос.(Пр.2-24) '!N102+'[19]Перевод ДН дети'!N102+'[19]Перевод 2 этапа ДВН'!N102+'[19]Перевод 2 этапа УД'!N102</f>
        <v>0</v>
      </c>
      <c r="O102" s="305">
        <f t="shared" si="8"/>
        <v>27</v>
      </c>
      <c r="P102" s="310">
        <v>0</v>
      </c>
      <c r="Q102" s="310">
        <f>'[19]Раз.пос.(Пр.2-24) '!Q102+'[19]Перевод ДН дети'!Q102+'[19]Перевод 2 этапа ДВН'!Q102+'[19]Перевод 2 этапа УД'!Q102</f>
        <v>0</v>
      </c>
      <c r="R102" s="310">
        <v>27</v>
      </c>
      <c r="S102" s="310">
        <f>'[19]Раз.пос.(Пр.2-24) '!S102+'[19]Перевод ДН дети'!S102+'[19]Перевод 2 этапа ДВН'!S102+'[19]Перевод 2 этапа УД'!S102</f>
        <v>0</v>
      </c>
    </row>
    <row r="103" spans="1:19" x14ac:dyDescent="0.2">
      <c r="A103" s="309">
        <v>90</v>
      </c>
      <c r="B103" s="219" t="s">
        <v>246</v>
      </c>
      <c r="C103" s="220" t="s">
        <v>247</v>
      </c>
      <c r="D103" s="305">
        <f t="shared" si="9"/>
        <v>11140</v>
      </c>
      <c r="E103" s="310">
        <f t="shared" si="6"/>
        <v>0</v>
      </c>
      <c r="F103" s="310">
        <v>0</v>
      </c>
      <c r="G103" s="310">
        <v>0</v>
      </c>
      <c r="H103" s="310">
        <f t="shared" si="7"/>
        <v>11140</v>
      </c>
      <c r="I103" s="336">
        <f>'[19]Раз.пос.(Пр.2-24) '!I103+'[19]Перевод ДН дети'!I103+'[19]Перевод 2 этапа ДВН'!I103+'[19]Перевод 2 этапа УД'!I103</f>
        <v>0</v>
      </c>
      <c r="J103" s="310">
        <v>3321</v>
      </c>
      <c r="K103" s="310">
        <v>3650</v>
      </c>
      <c r="L103" s="310">
        <v>4169</v>
      </c>
      <c r="M103" s="310">
        <f>'[19]Раз.пос.(Пр.2-24) '!M103+'[19]Перевод ДН дети'!M103+'[19]Перевод 2 этапа ДВН'!M103+'[19]Перевод 2 этапа УД'!M103</f>
        <v>0</v>
      </c>
      <c r="N103" s="310">
        <f>'[19]Раз.пос.(Пр.2-24) '!N103+'[19]Перевод ДН дети'!N103+'[19]Перевод 2 этапа ДВН'!N103+'[19]Перевод 2 этапа УД'!N103</f>
        <v>0</v>
      </c>
      <c r="O103" s="305">
        <f t="shared" si="8"/>
        <v>0</v>
      </c>
      <c r="P103" s="310">
        <v>0</v>
      </c>
      <c r="Q103" s="310">
        <f>'[19]Раз.пос.(Пр.2-24) '!Q103+'[19]Перевод ДН дети'!Q103+'[19]Перевод 2 этапа ДВН'!Q103+'[19]Перевод 2 этапа УД'!Q103</f>
        <v>0</v>
      </c>
      <c r="R103" s="310">
        <v>0</v>
      </c>
      <c r="S103" s="310">
        <f>'[19]Раз.пос.(Пр.2-24) '!S103+'[19]Перевод ДН дети'!S103+'[19]Перевод 2 этапа ДВН'!S103+'[19]Перевод 2 этапа УД'!S103</f>
        <v>0</v>
      </c>
    </row>
    <row r="104" spans="1:19" x14ac:dyDescent="0.2">
      <c r="A104" s="309">
        <v>91</v>
      </c>
      <c r="B104" s="222" t="s">
        <v>248</v>
      </c>
      <c r="C104" s="220" t="s">
        <v>249</v>
      </c>
      <c r="D104" s="305">
        <f t="shared" si="9"/>
        <v>14930</v>
      </c>
      <c r="E104" s="310">
        <f t="shared" si="6"/>
        <v>0</v>
      </c>
      <c r="F104" s="310">
        <v>0</v>
      </c>
      <c r="G104" s="310">
        <v>0</v>
      </c>
      <c r="H104" s="310">
        <f t="shared" si="7"/>
        <v>14930</v>
      </c>
      <c r="I104" s="336">
        <f>'[19]Раз.пос.(Пр.2-24) '!I104+'[19]Перевод ДН дети'!I104+'[19]Перевод 2 этапа ДВН'!I104+'[19]Перевод 2 этапа УД'!I104</f>
        <v>0</v>
      </c>
      <c r="J104" s="310">
        <v>4665</v>
      </c>
      <c r="K104" s="310">
        <v>2076</v>
      </c>
      <c r="L104" s="310">
        <v>8189</v>
      </c>
      <c r="M104" s="310">
        <f>'[19]Раз.пос.(Пр.2-24) '!M104+'[19]Перевод ДН дети'!M104+'[19]Перевод 2 этапа ДВН'!M104+'[19]Перевод 2 этапа УД'!M104</f>
        <v>0</v>
      </c>
      <c r="N104" s="310">
        <f>'[19]Раз.пос.(Пр.2-24) '!N104+'[19]Перевод ДН дети'!N104+'[19]Перевод 2 этапа ДВН'!N104+'[19]Перевод 2 этапа УД'!N104</f>
        <v>0</v>
      </c>
      <c r="O104" s="305">
        <f t="shared" si="8"/>
        <v>0</v>
      </c>
      <c r="P104" s="310">
        <v>0</v>
      </c>
      <c r="Q104" s="310">
        <f>'[19]Раз.пос.(Пр.2-24) '!Q104+'[19]Перевод ДН дети'!Q104+'[19]Перевод 2 этапа ДВН'!Q104+'[19]Перевод 2 этапа УД'!Q104</f>
        <v>0</v>
      </c>
      <c r="R104" s="310">
        <v>0</v>
      </c>
      <c r="S104" s="310">
        <f>'[19]Раз.пос.(Пр.2-24) '!S104+'[19]Перевод ДН дети'!S104+'[19]Перевод 2 этапа ДВН'!S104+'[19]Перевод 2 этапа УД'!S104</f>
        <v>0</v>
      </c>
    </row>
    <row r="105" spans="1:19" x14ac:dyDescent="0.2">
      <c r="A105" s="309">
        <v>92</v>
      </c>
      <c r="B105" s="222" t="s">
        <v>250</v>
      </c>
      <c r="C105" s="220" t="s">
        <v>251</v>
      </c>
      <c r="D105" s="305">
        <f t="shared" si="9"/>
        <v>19033</v>
      </c>
      <c r="E105" s="310">
        <f t="shared" si="6"/>
        <v>0</v>
      </c>
      <c r="F105" s="310">
        <v>0</v>
      </c>
      <c r="G105" s="310">
        <v>0</v>
      </c>
      <c r="H105" s="310">
        <f t="shared" si="7"/>
        <v>19033</v>
      </c>
      <c r="I105" s="336">
        <f>'[19]Раз.пос.(Пр.2-24) '!I105+'[19]Перевод ДН дети'!I105+'[19]Перевод 2 этапа ДВН'!I105+'[19]Перевод 2 этапа УД'!I105</f>
        <v>0</v>
      </c>
      <c r="J105" s="310">
        <v>5985</v>
      </c>
      <c r="K105" s="310">
        <v>2575</v>
      </c>
      <c r="L105" s="310">
        <v>10473</v>
      </c>
      <c r="M105" s="310">
        <f>'[19]Раз.пос.(Пр.2-24) '!M105+'[19]Перевод ДН дети'!M105+'[19]Перевод 2 этапа ДВН'!M105+'[19]Перевод 2 этапа УД'!M105</f>
        <v>0</v>
      </c>
      <c r="N105" s="310">
        <f>'[19]Раз.пос.(Пр.2-24) '!N105+'[19]Перевод ДН дети'!N105+'[19]Перевод 2 этапа ДВН'!N105+'[19]Перевод 2 этапа УД'!N105</f>
        <v>0</v>
      </c>
      <c r="O105" s="305">
        <f t="shared" si="8"/>
        <v>0</v>
      </c>
      <c r="P105" s="310">
        <v>0</v>
      </c>
      <c r="Q105" s="310">
        <f>'[19]Раз.пос.(Пр.2-24) '!Q105+'[19]Перевод ДН дети'!Q105+'[19]Перевод 2 этапа ДВН'!Q105+'[19]Перевод 2 этапа УД'!Q105</f>
        <v>0</v>
      </c>
      <c r="R105" s="310">
        <v>0</v>
      </c>
      <c r="S105" s="310">
        <f>'[19]Раз.пос.(Пр.2-24) '!S105+'[19]Перевод ДН дети'!S105+'[19]Перевод 2 этапа ДВН'!S105+'[19]Перевод 2 этапа УД'!S105</f>
        <v>0</v>
      </c>
    </row>
    <row r="106" spans="1:19" x14ac:dyDescent="0.2">
      <c r="A106" s="309">
        <v>93</v>
      </c>
      <c r="B106" s="224" t="s">
        <v>32</v>
      </c>
      <c r="C106" s="220" t="s">
        <v>33</v>
      </c>
      <c r="D106" s="305">
        <f t="shared" si="9"/>
        <v>15340</v>
      </c>
      <c r="E106" s="310">
        <f t="shared" si="6"/>
        <v>0</v>
      </c>
      <c r="F106" s="310">
        <v>0</v>
      </c>
      <c r="G106" s="310">
        <v>0</v>
      </c>
      <c r="H106" s="310">
        <f t="shared" si="7"/>
        <v>13385</v>
      </c>
      <c r="I106" s="336">
        <f>'[19]Раз.пос.(Пр.2-24) '!I106+'[19]Перевод ДН дети'!I106+'[19]Перевод 2 этапа ДВН'!I106+'[19]Перевод 2 этапа УД'!I106</f>
        <v>0</v>
      </c>
      <c r="J106" s="310">
        <v>5397</v>
      </c>
      <c r="K106" s="310">
        <v>1526</v>
      </c>
      <c r="L106" s="310">
        <v>6462</v>
      </c>
      <c r="M106" s="310">
        <f>'[19]Раз.пос.(Пр.2-24) '!M106+'[19]Перевод ДН дети'!M106+'[19]Перевод 2 этапа ДВН'!M106+'[19]Перевод 2 этапа УД'!M106</f>
        <v>1025</v>
      </c>
      <c r="N106" s="310">
        <f>'[19]Раз.пос.(Пр.2-24) '!N106+'[19]Перевод ДН дети'!N106+'[19]Перевод 2 этапа ДВН'!N106+'[19]Перевод 2 этапа УД'!N106</f>
        <v>439</v>
      </c>
      <c r="O106" s="305">
        <f t="shared" si="8"/>
        <v>491</v>
      </c>
      <c r="P106" s="310">
        <v>0</v>
      </c>
      <c r="Q106" s="310">
        <f>'[19]Раз.пос.(Пр.2-24) '!Q106+'[19]Перевод ДН дети'!Q106+'[19]Перевод 2 этапа ДВН'!Q106+'[19]Перевод 2 этапа УД'!Q106</f>
        <v>0</v>
      </c>
      <c r="R106" s="310">
        <v>491</v>
      </c>
      <c r="S106" s="310">
        <f>'[19]Раз.пос.(Пр.2-24) '!S106+'[19]Перевод ДН дети'!S106+'[19]Перевод 2 этапа ДВН'!S106+'[19]Перевод 2 этапа УД'!S106</f>
        <v>0</v>
      </c>
    </row>
    <row r="107" spans="1:19" x14ac:dyDescent="0.2">
      <c r="A107" s="309">
        <v>94</v>
      </c>
      <c r="B107" s="219" t="s">
        <v>252</v>
      </c>
      <c r="C107" s="220" t="s">
        <v>253</v>
      </c>
      <c r="D107" s="305">
        <f t="shared" si="9"/>
        <v>12301</v>
      </c>
      <c r="E107" s="310">
        <f t="shared" si="6"/>
        <v>0</v>
      </c>
      <c r="F107" s="310">
        <v>0</v>
      </c>
      <c r="G107" s="310">
        <v>0</v>
      </c>
      <c r="H107" s="310">
        <f t="shared" si="7"/>
        <v>12301</v>
      </c>
      <c r="I107" s="336">
        <f>'[19]Раз.пос.(Пр.2-24) '!I107+'[19]Перевод ДН дети'!I107+'[19]Перевод 2 этапа ДВН'!I107+'[19]Перевод 2 этапа УД'!I107</f>
        <v>0</v>
      </c>
      <c r="J107" s="310">
        <v>5066</v>
      </c>
      <c r="K107" s="310">
        <v>3121</v>
      </c>
      <c r="L107" s="310">
        <v>4114</v>
      </c>
      <c r="M107" s="310">
        <f>'[19]Раз.пос.(Пр.2-24) '!M107+'[19]Перевод ДН дети'!M107+'[19]Перевод 2 этапа ДВН'!M107+'[19]Перевод 2 этапа УД'!M107</f>
        <v>0</v>
      </c>
      <c r="N107" s="310">
        <f>'[19]Раз.пос.(Пр.2-24) '!N107+'[19]Перевод ДН дети'!N107+'[19]Перевод 2 этапа ДВН'!N107+'[19]Перевод 2 этапа УД'!N107</f>
        <v>0</v>
      </c>
      <c r="O107" s="305">
        <f t="shared" si="8"/>
        <v>0</v>
      </c>
      <c r="P107" s="310">
        <v>0</v>
      </c>
      <c r="Q107" s="310">
        <f>'[19]Раз.пос.(Пр.2-24) '!Q107+'[19]Перевод ДН дети'!Q107+'[19]Перевод 2 этапа ДВН'!Q107+'[19]Перевод 2 этапа УД'!Q107</f>
        <v>0</v>
      </c>
      <c r="R107" s="310">
        <v>0</v>
      </c>
      <c r="S107" s="310">
        <f>'[19]Раз.пос.(Пр.2-24) '!S107+'[19]Перевод ДН дети'!S107+'[19]Перевод 2 этапа ДВН'!S107+'[19]Перевод 2 этапа УД'!S107</f>
        <v>0</v>
      </c>
    </row>
    <row r="108" spans="1:19" x14ac:dyDescent="0.2">
      <c r="A108" s="309">
        <v>95</v>
      </c>
      <c r="B108" s="219" t="s">
        <v>254</v>
      </c>
      <c r="C108" s="220" t="s">
        <v>255</v>
      </c>
      <c r="D108" s="305">
        <f t="shared" si="9"/>
        <v>18522</v>
      </c>
      <c r="E108" s="310">
        <f t="shared" si="6"/>
        <v>0</v>
      </c>
      <c r="F108" s="310">
        <v>0</v>
      </c>
      <c r="G108" s="310">
        <v>0</v>
      </c>
      <c r="H108" s="310">
        <f t="shared" si="7"/>
        <v>18522</v>
      </c>
      <c r="I108" s="336">
        <f>'[19]Раз.пос.(Пр.2-24) '!I108+'[19]Перевод ДН дети'!I108+'[19]Перевод 2 этапа ДВН'!I108+'[19]Перевод 2 этапа УД'!I108</f>
        <v>0</v>
      </c>
      <c r="J108" s="310">
        <v>5289</v>
      </c>
      <c r="K108" s="310">
        <v>2719</v>
      </c>
      <c r="L108" s="310">
        <v>10514</v>
      </c>
      <c r="M108" s="310">
        <f>'[19]Раз.пос.(Пр.2-24) '!M108+'[19]Перевод ДН дети'!M108+'[19]Перевод 2 этапа ДВН'!M108+'[19]Перевод 2 этапа УД'!M108</f>
        <v>0</v>
      </c>
      <c r="N108" s="310">
        <f>'[19]Раз.пос.(Пр.2-24) '!N108+'[19]Перевод ДН дети'!N108+'[19]Перевод 2 этапа ДВН'!N108+'[19]Перевод 2 этапа УД'!N108</f>
        <v>0</v>
      </c>
      <c r="O108" s="305">
        <f t="shared" si="8"/>
        <v>0</v>
      </c>
      <c r="P108" s="310">
        <v>0</v>
      </c>
      <c r="Q108" s="310">
        <f>'[19]Раз.пос.(Пр.2-24) '!Q108+'[19]Перевод ДН дети'!Q108+'[19]Перевод 2 этапа ДВН'!Q108+'[19]Перевод 2 этапа УД'!Q108</f>
        <v>0</v>
      </c>
      <c r="R108" s="310">
        <v>0</v>
      </c>
      <c r="S108" s="310">
        <f>'[19]Раз.пос.(Пр.2-24) '!S108+'[19]Перевод ДН дети'!S108+'[19]Перевод 2 этапа ДВН'!S108+'[19]Перевод 2 этапа УД'!S108</f>
        <v>0</v>
      </c>
    </row>
    <row r="109" spans="1:19" x14ac:dyDescent="0.2">
      <c r="A109" s="309">
        <v>96</v>
      </c>
      <c r="B109" s="222" t="s">
        <v>256</v>
      </c>
      <c r="C109" s="220" t="s">
        <v>257</v>
      </c>
      <c r="D109" s="305">
        <f t="shared" si="9"/>
        <v>33918</v>
      </c>
      <c r="E109" s="310">
        <f t="shared" si="6"/>
        <v>0</v>
      </c>
      <c r="F109" s="310">
        <v>0</v>
      </c>
      <c r="G109" s="310">
        <v>0</v>
      </c>
      <c r="H109" s="310">
        <f t="shared" si="7"/>
        <v>33792</v>
      </c>
      <c r="I109" s="336">
        <f>'[19]Раз.пос.(Пр.2-24) '!I109+'[19]Перевод ДН дети'!I109+'[19]Перевод 2 этапа ДВН'!I109+'[19]Перевод 2 этапа УД'!I109</f>
        <v>0</v>
      </c>
      <c r="J109" s="310">
        <v>8091</v>
      </c>
      <c r="K109" s="310">
        <v>420</v>
      </c>
      <c r="L109" s="310">
        <v>25281</v>
      </c>
      <c r="M109" s="310">
        <f>'[19]Раз.пос.(Пр.2-24) '!M109+'[19]Перевод ДН дети'!M109+'[19]Перевод 2 этапа ДВН'!M109+'[19]Перевод 2 этапа УД'!M109</f>
        <v>0</v>
      </c>
      <c r="N109" s="310">
        <f>'[19]Раз.пос.(Пр.2-24) '!N109+'[19]Перевод ДН дети'!N109+'[19]Перевод 2 этапа ДВН'!N109+'[19]Перевод 2 этапа УД'!N109</f>
        <v>0</v>
      </c>
      <c r="O109" s="305">
        <f t="shared" si="8"/>
        <v>126</v>
      </c>
      <c r="P109" s="310">
        <v>0</v>
      </c>
      <c r="Q109" s="310">
        <f>'[19]Раз.пос.(Пр.2-24) '!Q109+'[19]Перевод ДН дети'!Q109+'[19]Перевод 2 этапа ДВН'!Q109+'[19]Перевод 2 этапа УД'!Q109</f>
        <v>0</v>
      </c>
      <c r="R109" s="310">
        <v>126</v>
      </c>
      <c r="S109" s="310">
        <f>'[19]Раз.пос.(Пр.2-24) '!S109+'[19]Перевод ДН дети'!S109+'[19]Перевод 2 этапа ДВН'!S109+'[19]Перевод 2 этапа УД'!S109</f>
        <v>0</v>
      </c>
    </row>
    <row r="110" spans="1:19" x14ac:dyDescent="0.2">
      <c r="A110" s="309">
        <v>97</v>
      </c>
      <c r="B110" s="224" t="s">
        <v>76</v>
      </c>
      <c r="C110" s="220" t="s">
        <v>77</v>
      </c>
      <c r="D110" s="305">
        <f t="shared" si="9"/>
        <v>14842</v>
      </c>
      <c r="E110" s="310">
        <f t="shared" si="6"/>
        <v>0</v>
      </c>
      <c r="F110" s="310">
        <v>0</v>
      </c>
      <c r="G110" s="310">
        <v>0</v>
      </c>
      <c r="H110" s="310">
        <f t="shared" si="7"/>
        <v>14842</v>
      </c>
      <c r="I110" s="336">
        <f>'[19]Раз.пос.(Пр.2-24) '!I110+'[19]Перевод ДН дети'!I110+'[19]Перевод 2 этапа ДВН'!I110+'[19]Перевод 2 этапа УД'!I110</f>
        <v>0</v>
      </c>
      <c r="J110" s="310">
        <v>4131</v>
      </c>
      <c r="K110" s="310">
        <v>792</v>
      </c>
      <c r="L110" s="310">
        <v>9919</v>
      </c>
      <c r="M110" s="310">
        <f>'[19]Раз.пос.(Пр.2-24) '!M110+'[19]Перевод ДН дети'!M110+'[19]Перевод 2 этапа ДВН'!M110+'[19]Перевод 2 этапа УД'!M110</f>
        <v>0</v>
      </c>
      <c r="N110" s="310">
        <f>'[19]Раз.пос.(Пр.2-24) '!N110+'[19]Перевод ДН дети'!N110+'[19]Перевод 2 этапа ДВН'!N110+'[19]Перевод 2 этапа УД'!N110</f>
        <v>0</v>
      </c>
      <c r="O110" s="305">
        <f t="shared" si="8"/>
        <v>0</v>
      </c>
      <c r="P110" s="310">
        <v>0</v>
      </c>
      <c r="Q110" s="310">
        <f>'[19]Раз.пос.(Пр.2-24) '!Q110+'[19]Перевод ДН дети'!Q110+'[19]Перевод 2 этапа ДВН'!Q110+'[19]Перевод 2 этапа УД'!Q110</f>
        <v>0</v>
      </c>
      <c r="R110" s="310">
        <v>0</v>
      </c>
      <c r="S110" s="310">
        <f>'[19]Раз.пос.(Пр.2-24) '!S110+'[19]Перевод ДН дети'!S110+'[19]Перевод 2 этапа ДВН'!S110+'[19]Перевод 2 этапа УД'!S110</f>
        <v>0</v>
      </c>
    </row>
    <row r="111" spans="1:19" x14ac:dyDescent="0.2">
      <c r="A111" s="309">
        <v>98</v>
      </c>
      <c r="B111" s="222" t="s">
        <v>258</v>
      </c>
      <c r="C111" s="220" t="s">
        <v>259</v>
      </c>
      <c r="D111" s="305">
        <f t="shared" si="9"/>
        <v>8028</v>
      </c>
      <c r="E111" s="310">
        <f t="shared" si="6"/>
        <v>8028</v>
      </c>
      <c r="F111" s="310">
        <v>0</v>
      </c>
      <c r="G111" s="310">
        <v>8028</v>
      </c>
      <c r="H111" s="310">
        <f t="shared" si="7"/>
        <v>0</v>
      </c>
      <c r="I111" s="336">
        <f>'[19]Раз.пос.(Пр.2-24) '!I111+'[19]Перевод ДН дети'!I111+'[19]Перевод 2 этапа ДВН'!I111+'[19]Перевод 2 этапа УД'!I111</f>
        <v>0</v>
      </c>
      <c r="J111" s="310">
        <v>0</v>
      </c>
      <c r="K111" s="310">
        <v>0</v>
      </c>
      <c r="L111" s="310">
        <v>0</v>
      </c>
      <c r="M111" s="310">
        <f>'[19]Раз.пос.(Пр.2-24) '!M111+'[19]Перевод ДН дети'!M111+'[19]Перевод 2 этапа ДВН'!M111+'[19]Перевод 2 этапа УД'!M111</f>
        <v>0</v>
      </c>
      <c r="N111" s="310">
        <f>'[19]Раз.пос.(Пр.2-24) '!N111+'[19]Перевод ДН дети'!N111+'[19]Перевод 2 этапа ДВН'!N111+'[19]Перевод 2 этапа УД'!N111</f>
        <v>0</v>
      </c>
      <c r="O111" s="305">
        <f t="shared" si="8"/>
        <v>0</v>
      </c>
      <c r="P111" s="310">
        <v>0</v>
      </c>
      <c r="Q111" s="310">
        <f>'[19]Раз.пос.(Пр.2-24) '!Q111+'[19]Перевод ДН дети'!Q111+'[19]Перевод 2 этапа ДВН'!Q111+'[19]Перевод 2 этапа УД'!Q111</f>
        <v>0</v>
      </c>
      <c r="R111" s="310">
        <v>0</v>
      </c>
      <c r="S111" s="310">
        <f>'[19]Раз.пос.(Пр.2-24) '!S111+'[19]Перевод ДН дети'!S111+'[19]Перевод 2 этапа ДВН'!S111+'[19]Перевод 2 этапа УД'!S111</f>
        <v>0</v>
      </c>
    </row>
    <row r="112" spans="1:19" x14ac:dyDescent="0.2">
      <c r="A112" s="309">
        <v>99</v>
      </c>
      <c r="B112" s="222" t="s">
        <v>260</v>
      </c>
      <c r="C112" s="220" t="s">
        <v>261</v>
      </c>
      <c r="D112" s="305">
        <f t="shared" si="9"/>
        <v>0</v>
      </c>
      <c r="E112" s="310">
        <f t="shared" si="6"/>
        <v>0</v>
      </c>
      <c r="F112" s="310">
        <v>0</v>
      </c>
      <c r="G112" s="310">
        <v>0</v>
      </c>
      <c r="H112" s="310">
        <f t="shared" si="7"/>
        <v>0</v>
      </c>
      <c r="I112" s="336">
        <f>'[19]Раз.пос.(Пр.2-24) '!I112+'[19]Перевод ДН дети'!I112+'[19]Перевод 2 этапа ДВН'!I112+'[19]Перевод 2 этапа УД'!I112</f>
        <v>0</v>
      </c>
      <c r="J112" s="310">
        <v>0</v>
      </c>
      <c r="K112" s="310">
        <v>0</v>
      </c>
      <c r="L112" s="310">
        <v>0</v>
      </c>
      <c r="M112" s="310">
        <f>'[19]Раз.пос.(Пр.2-24) '!M112+'[19]Перевод ДН дети'!M112+'[19]Перевод 2 этапа ДВН'!M112+'[19]Перевод 2 этапа УД'!M112</f>
        <v>0</v>
      </c>
      <c r="N112" s="310">
        <f>'[19]Раз.пос.(Пр.2-24) '!N112+'[19]Перевод ДН дети'!N112+'[19]Перевод 2 этапа ДВН'!N112+'[19]Перевод 2 этапа УД'!N112</f>
        <v>0</v>
      </c>
      <c r="O112" s="305">
        <f t="shared" si="8"/>
        <v>0</v>
      </c>
      <c r="P112" s="310">
        <v>0</v>
      </c>
      <c r="Q112" s="310">
        <f>'[19]Раз.пос.(Пр.2-24) '!Q112+'[19]Перевод ДН дети'!Q112+'[19]Перевод 2 этапа ДВН'!Q112+'[19]Перевод 2 этапа УД'!Q112</f>
        <v>0</v>
      </c>
      <c r="R112" s="310">
        <v>0</v>
      </c>
      <c r="S112" s="310">
        <f>'[19]Раз.пос.(Пр.2-24) '!S112+'[19]Перевод ДН дети'!S112+'[19]Перевод 2 этапа ДВН'!S112+'[19]Перевод 2 этапа УД'!S112</f>
        <v>0</v>
      </c>
    </row>
    <row r="113" spans="1:19" x14ac:dyDescent="0.2">
      <c r="A113" s="309">
        <v>100</v>
      </c>
      <c r="B113" s="219" t="s">
        <v>264</v>
      </c>
      <c r="C113" s="220" t="s">
        <v>265</v>
      </c>
      <c r="D113" s="305">
        <f t="shared" si="9"/>
        <v>0</v>
      </c>
      <c r="E113" s="310">
        <f t="shared" si="6"/>
        <v>0</v>
      </c>
      <c r="F113" s="310">
        <v>0</v>
      </c>
      <c r="G113" s="310">
        <v>0</v>
      </c>
      <c r="H113" s="310">
        <f t="shared" si="7"/>
        <v>0</v>
      </c>
      <c r="I113" s="336">
        <f>'[19]Раз.пос.(Пр.2-24) '!I113+'[19]Перевод ДН дети'!I113+'[19]Перевод 2 этапа ДВН'!I113+'[19]Перевод 2 этапа УД'!I113</f>
        <v>0</v>
      </c>
      <c r="J113" s="310">
        <v>0</v>
      </c>
      <c r="K113" s="310">
        <v>0</v>
      </c>
      <c r="L113" s="310">
        <v>0</v>
      </c>
      <c r="M113" s="310">
        <f>'[19]Раз.пос.(Пр.2-24) '!M113+'[19]Перевод ДН дети'!M113+'[19]Перевод 2 этапа ДВН'!M113+'[19]Перевод 2 этапа УД'!M113</f>
        <v>0</v>
      </c>
      <c r="N113" s="310">
        <f>'[19]Раз.пос.(Пр.2-24) '!N113+'[19]Перевод ДН дети'!N113+'[19]Перевод 2 этапа ДВН'!N113+'[19]Перевод 2 этапа УД'!N113</f>
        <v>0</v>
      </c>
      <c r="O113" s="305">
        <f t="shared" si="8"/>
        <v>0</v>
      </c>
      <c r="P113" s="310">
        <v>0</v>
      </c>
      <c r="Q113" s="310">
        <f>'[19]Раз.пос.(Пр.2-24) '!Q113+'[19]Перевод ДН дети'!Q113+'[19]Перевод 2 этапа ДВН'!Q113+'[19]Перевод 2 этапа УД'!Q113</f>
        <v>0</v>
      </c>
      <c r="R113" s="310">
        <v>0</v>
      </c>
      <c r="S113" s="310">
        <f>'[19]Раз.пос.(Пр.2-24) '!S113+'[19]Перевод ДН дети'!S113+'[19]Перевод 2 этапа ДВН'!S113+'[19]Перевод 2 этапа УД'!S113</f>
        <v>0</v>
      </c>
    </row>
    <row r="114" spans="1:19" x14ac:dyDescent="0.2">
      <c r="A114" s="309">
        <v>101</v>
      </c>
      <c r="B114" s="219" t="s">
        <v>266</v>
      </c>
      <c r="C114" s="220" t="s">
        <v>267</v>
      </c>
      <c r="D114" s="305">
        <f t="shared" si="9"/>
        <v>0</v>
      </c>
      <c r="E114" s="310">
        <f t="shared" si="6"/>
        <v>0</v>
      </c>
      <c r="F114" s="310">
        <v>0</v>
      </c>
      <c r="G114" s="310">
        <v>0</v>
      </c>
      <c r="H114" s="310">
        <f t="shared" si="7"/>
        <v>0</v>
      </c>
      <c r="I114" s="336">
        <f>'[19]Раз.пос.(Пр.2-24) '!I114+'[19]Перевод ДН дети'!I114+'[19]Перевод 2 этапа ДВН'!I114+'[19]Перевод 2 этапа УД'!I114</f>
        <v>0</v>
      </c>
      <c r="J114" s="310">
        <v>0</v>
      </c>
      <c r="K114" s="310">
        <v>0</v>
      </c>
      <c r="L114" s="310">
        <v>0</v>
      </c>
      <c r="M114" s="310">
        <f>'[19]Раз.пос.(Пр.2-24) '!M114+'[19]Перевод ДН дети'!M114+'[19]Перевод 2 этапа ДВН'!M114+'[19]Перевод 2 этапа УД'!M114</f>
        <v>0</v>
      </c>
      <c r="N114" s="310">
        <f>'[19]Раз.пос.(Пр.2-24) '!N114+'[19]Перевод ДН дети'!N114+'[19]Перевод 2 этапа ДВН'!N114+'[19]Перевод 2 этапа УД'!N114</f>
        <v>0</v>
      </c>
      <c r="O114" s="305">
        <f t="shared" si="8"/>
        <v>0</v>
      </c>
      <c r="P114" s="310">
        <v>0</v>
      </c>
      <c r="Q114" s="310">
        <f>'[19]Раз.пос.(Пр.2-24) '!Q114+'[19]Перевод ДН дети'!Q114+'[19]Перевод 2 этапа ДВН'!Q114+'[19]Перевод 2 этапа УД'!Q114</f>
        <v>0</v>
      </c>
      <c r="R114" s="310">
        <v>0</v>
      </c>
      <c r="S114" s="310">
        <f>'[19]Раз.пос.(Пр.2-24) '!S114+'[19]Перевод ДН дети'!S114+'[19]Перевод 2 этапа ДВН'!S114+'[19]Перевод 2 этапа УД'!S114</f>
        <v>0</v>
      </c>
    </row>
    <row r="115" spans="1:19" x14ac:dyDescent="0.2">
      <c r="A115" s="309">
        <v>102</v>
      </c>
      <c r="B115" s="219" t="s">
        <v>268</v>
      </c>
      <c r="C115" s="220" t="s">
        <v>269</v>
      </c>
      <c r="D115" s="305">
        <f t="shared" si="9"/>
        <v>0</v>
      </c>
      <c r="E115" s="310">
        <f t="shared" si="6"/>
        <v>0</v>
      </c>
      <c r="F115" s="310">
        <v>0</v>
      </c>
      <c r="G115" s="310">
        <v>0</v>
      </c>
      <c r="H115" s="310">
        <f t="shared" si="7"/>
        <v>0</v>
      </c>
      <c r="I115" s="336">
        <f>'[19]Раз.пос.(Пр.2-24) '!I115+'[19]Перевод ДН дети'!I115+'[19]Перевод 2 этапа ДВН'!I115+'[19]Перевод 2 этапа УД'!I115</f>
        <v>0</v>
      </c>
      <c r="J115" s="310">
        <v>0</v>
      </c>
      <c r="K115" s="310">
        <v>0</v>
      </c>
      <c r="L115" s="310">
        <v>0</v>
      </c>
      <c r="M115" s="310">
        <f>'[19]Раз.пос.(Пр.2-24) '!M115+'[19]Перевод ДН дети'!M115+'[19]Перевод 2 этапа ДВН'!M115+'[19]Перевод 2 этапа УД'!M115</f>
        <v>0</v>
      </c>
      <c r="N115" s="310">
        <f>'[19]Раз.пос.(Пр.2-24) '!N115+'[19]Перевод ДН дети'!N115+'[19]Перевод 2 этапа ДВН'!N115+'[19]Перевод 2 этапа УД'!N115</f>
        <v>0</v>
      </c>
      <c r="O115" s="305">
        <f t="shared" si="8"/>
        <v>0</v>
      </c>
      <c r="P115" s="310">
        <v>0</v>
      </c>
      <c r="Q115" s="310">
        <f>'[19]Раз.пос.(Пр.2-24) '!Q115+'[19]Перевод ДН дети'!Q115+'[19]Перевод 2 этапа ДВН'!Q115+'[19]Перевод 2 этапа УД'!Q115</f>
        <v>0</v>
      </c>
      <c r="R115" s="310">
        <v>0</v>
      </c>
      <c r="S115" s="310">
        <f>'[19]Раз.пос.(Пр.2-24) '!S115+'[19]Перевод ДН дети'!S115+'[19]Перевод 2 этапа ДВН'!S115+'[19]Перевод 2 этапа УД'!S115</f>
        <v>0</v>
      </c>
    </row>
    <row r="116" spans="1:19" x14ac:dyDescent="0.2">
      <c r="A116" s="309">
        <v>103</v>
      </c>
      <c r="B116" s="219" t="s">
        <v>270</v>
      </c>
      <c r="C116" s="220" t="s">
        <v>271</v>
      </c>
      <c r="D116" s="305">
        <f t="shared" si="9"/>
        <v>0</v>
      </c>
      <c r="E116" s="310">
        <f t="shared" si="6"/>
        <v>0</v>
      </c>
      <c r="F116" s="310">
        <v>0</v>
      </c>
      <c r="G116" s="310">
        <v>0</v>
      </c>
      <c r="H116" s="310">
        <f t="shared" si="7"/>
        <v>0</v>
      </c>
      <c r="I116" s="336">
        <f>'[19]Раз.пос.(Пр.2-24) '!I116+'[19]Перевод ДН дети'!I116+'[19]Перевод 2 этапа ДВН'!I116+'[19]Перевод 2 этапа УД'!I116</f>
        <v>0</v>
      </c>
      <c r="J116" s="310">
        <v>0</v>
      </c>
      <c r="K116" s="310">
        <v>0</v>
      </c>
      <c r="L116" s="310">
        <v>0</v>
      </c>
      <c r="M116" s="310">
        <f>'[19]Раз.пос.(Пр.2-24) '!M116+'[19]Перевод ДН дети'!M116+'[19]Перевод 2 этапа ДВН'!M116+'[19]Перевод 2 этапа УД'!M116</f>
        <v>0</v>
      </c>
      <c r="N116" s="310">
        <f>'[19]Раз.пос.(Пр.2-24) '!N116+'[19]Перевод ДН дети'!N116+'[19]Перевод 2 этапа ДВН'!N116+'[19]Перевод 2 этапа УД'!N116</f>
        <v>0</v>
      </c>
      <c r="O116" s="305">
        <f t="shared" si="8"/>
        <v>0</v>
      </c>
      <c r="P116" s="310">
        <v>0</v>
      </c>
      <c r="Q116" s="310">
        <f>'[19]Раз.пос.(Пр.2-24) '!Q116+'[19]Перевод ДН дети'!Q116+'[19]Перевод 2 этапа ДВН'!Q116+'[19]Перевод 2 этапа УД'!Q116</f>
        <v>0</v>
      </c>
      <c r="R116" s="310">
        <v>0</v>
      </c>
      <c r="S116" s="310">
        <f>'[19]Раз.пос.(Пр.2-24) '!S116+'[19]Перевод ДН дети'!S116+'[19]Перевод 2 этапа ДВН'!S116+'[19]Перевод 2 этапа УД'!S116</f>
        <v>0</v>
      </c>
    </row>
    <row r="117" spans="1:19" x14ac:dyDescent="0.2">
      <c r="A117" s="309">
        <v>104</v>
      </c>
      <c r="B117" s="219" t="s">
        <v>272</v>
      </c>
      <c r="C117" s="220" t="s">
        <v>273</v>
      </c>
      <c r="D117" s="305">
        <f t="shared" si="9"/>
        <v>30240</v>
      </c>
      <c r="E117" s="310">
        <f t="shared" si="6"/>
        <v>30240</v>
      </c>
      <c r="F117" s="310">
        <v>0</v>
      </c>
      <c r="G117" s="310">
        <v>30240</v>
      </c>
      <c r="H117" s="310">
        <f t="shared" si="7"/>
        <v>0</v>
      </c>
      <c r="I117" s="336">
        <f>'[19]Раз.пос.(Пр.2-24) '!I117+'[19]Перевод ДН дети'!I117+'[19]Перевод 2 этапа ДВН'!I117+'[19]Перевод 2 этапа УД'!I117</f>
        <v>0</v>
      </c>
      <c r="J117" s="310">
        <v>0</v>
      </c>
      <c r="K117" s="310">
        <v>0</v>
      </c>
      <c r="L117" s="310">
        <v>0</v>
      </c>
      <c r="M117" s="310">
        <f>'[19]Раз.пос.(Пр.2-24) '!M117+'[19]Перевод ДН дети'!M117+'[19]Перевод 2 этапа ДВН'!M117+'[19]Перевод 2 этапа УД'!M117</f>
        <v>0</v>
      </c>
      <c r="N117" s="310">
        <f>'[19]Раз.пос.(Пр.2-24) '!N117+'[19]Перевод ДН дети'!N117+'[19]Перевод 2 этапа ДВН'!N117+'[19]Перевод 2 этапа УД'!N117</f>
        <v>0</v>
      </c>
      <c r="O117" s="305">
        <f t="shared" si="8"/>
        <v>0</v>
      </c>
      <c r="P117" s="310">
        <v>0</v>
      </c>
      <c r="Q117" s="310">
        <f>'[19]Раз.пос.(Пр.2-24) '!Q117+'[19]Перевод ДН дети'!Q117+'[19]Перевод 2 этапа ДВН'!Q117+'[19]Перевод 2 этапа УД'!Q117</f>
        <v>0</v>
      </c>
      <c r="R117" s="310">
        <v>0</v>
      </c>
      <c r="S117" s="310">
        <f>'[19]Раз.пос.(Пр.2-24) '!S117+'[19]Перевод ДН дети'!S117+'[19]Перевод 2 этапа ДВН'!S117+'[19]Перевод 2 этапа УД'!S117</f>
        <v>0</v>
      </c>
    </row>
    <row r="118" spans="1:19" x14ac:dyDescent="0.2">
      <c r="A118" s="309">
        <v>105</v>
      </c>
      <c r="B118" s="316" t="s">
        <v>274</v>
      </c>
      <c r="C118" s="313" t="s">
        <v>275</v>
      </c>
      <c r="D118" s="305">
        <f t="shared" si="9"/>
        <v>0</v>
      </c>
      <c r="E118" s="310">
        <f t="shared" si="6"/>
        <v>0</v>
      </c>
      <c r="F118" s="310">
        <v>0</v>
      </c>
      <c r="G118" s="310">
        <v>0</v>
      </c>
      <c r="H118" s="310">
        <f t="shared" si="7"/>
        <v>0</v>
      </c>
      <c r="I118" s="336">
        <f>'[19]Раз.пос.(Пр.2-24) '!I118+'[19]Перевод ДН дети'!I118+'[19]Перевод 2 этапа ДВН'!I118+'[19]Перевод 2 этапа УД'!I118</f>
        <v>0</v>
      </c>
      <c r="J118" s="310">
        <v>0</v>
      </c>
      <c r="K118" s="310">
        <v>0</v>
      </c>
      <c r="L118" s="310">
        <v>0</v>
      </c>
      <c r="M118" s="310">
        <f>'[19]Раз.пос.(Пр.2-24) '!M118+'[19]Перевод ДН дети'!M118+'[19]Перевод 2 этапа ДВН'!M118+'[19]Перевод 2 этапа УД'!M118</f>
        <v>0</v>
      </c>
      <c r="N118" s="310">
        <f>'[19]Раз.пос.(Пр.2-24) '!N118+'[19]Перевод ДН дети'!N118+'[19]Перевод 2 этапа ДВН'!N118+'[19]Перевод 2 этапа УД'!N118</f>
        <v>0</v>
      </c>
      <c r="O118" s="305">
        <f t="shared" si="8"/>
        <v>0</v>
      </c>
      <c r="P118" s="310">
        <v>0</v>
      </c>
      <c r="Q118" s="310">
        <f>'[19]Раз.пос.(Пр.2-24) '!Q118+'[19]Перевод ДН дети'!Q118+'[19]Перевод 2 этапа ДВН'!Q118+'[19]Перевод 2 этапа УД'!Q118</f>
        <v>0</v>
      </c>
      <c r="R118" s="310">
        <v>0</v>
      </c>
      <c r="S118" s="310">
        <f>'[19]Раз.пос.(Пр.2-24) '!S118+'[19]Перевод ДН дети'!S118+'[19]Перевод 2 этапа ДВН'!S118+'[19]Перевод 2 этапа УД'!S118</f>
        <v>0</v>
      </c>
    </row>
    <row r="119" spans="1:19" x14ac:dyDescent="0.2">
      <c r="A119" s="309">
        <v>106</v>
      </c>
      <c r="B119" s="224" t="s">
        <v>276</v>
      </c>
      <c r="C119" s="220" t="s">
        <v>277</v>
      </c>
      <c r="D119" s="305">
        <f t="shared" si="9"/>
        <v>0</v>
      </c>
      <c r="E119" s="310">
        <f t="shared" si="6"/>
        <v>0</v>
      </c>
      <c r="F119" s="310">
        <v>0</v>
      </c>
      <c r="G119" s="310">
        <v>0</v>
      </c>
      <c r="H119" s="310">
        <f t="shared" si="7"/>
        <v>0</v>
      </c>
      <c r="I119" s="336">
        <f>'[19]Раз.пос.(Пр.2-24) '!I119+'[19]Перевод ДН дети'!I119+'[19]Перевод 2 этапа ДВН'!I119+'[19]Перевод 2 этапа УД'!I119</f>
        <v>0</v>
      </c>
      <c r="J119" s="310">
        <v>0</v>
      </c>
      <c r="K119" s="310">
        <v>0</v>
      </c>
      <c r="L119" s="310">
        <v>0</v>
      </c>
      <c r="M119" s="310">
        <f>'[19]Раз.пос.(Пр.2-24) '!M119+'[19]Перевод ДН дети'!M119+'[19]Перевод 2 этапа ДВН'!M119+'[19]Перевод 2 этапа УД'!M119</f>
        <v>0</v>
      </c>
      <c r="N119" s="310">
        <f>'[19]Раз.пос.(Пр.2-24) '!N119+'[19]Перевод ДН дети'!N119+'[19]Перевод 2 этапа ДВН'!N119+'[19]Перевод 2 этапа УД'!N119</f>
        <v>0</v>
      </c>
      <c r="O119" s="305">
        <f t="shared" si="8"/>
        <v>0</v>
      </c>
      <c r="P119" s="310">
        <v>0</v>
      </c>
      <c r="Q119" s="310">
        <f>'[19]Раз.пос.(Пр.2-24) '!Q119+'[19]Перевод ДН дети'!Q119+'[19]Перевод 2 этапа ДВН'!Q119+'[19]Перевод 2 этапа УД'!Q119</f>
        <v>0</v>
      </c>
      <c r="R119" s="310">
        <v>0</v>
      </c>
      <c r="S119" s="310">
        <f>'[19]Раз.пос.(Пр.2-24) '!S119+'[19]Перевод ДН дети'!S119+'[19]Перевод 2 этапа ДВН'!S119+'[19]Перевод 2 этапа УД'!S119</f>
        <v>0</v>
      </c>
    </row>
    <row r="120" spans="1:19" x14ac:dyDescent="0.2">
      <c r="A120" s="309">
        <v>107</v>
      </c>
      <c r="B120" s="219" t="s">
        <v>278</v>
      </c>
      <c r="C120" s="220" t="s">
        <v>279</v>
      </c>
      <c r="D120" s="305">
        <f t="shared" si="9"/>
        <v>0</v>
      </c>
      <c r="E120" s="310">
        <f t="shared" si="6"/>
        <v>0</v>
      </c>
      <c r="F120" s="310">
        <v>0</v>
      </c>
      <c r="G120" s="310">
        <v>0</v>
      </c>
      <c r="H120" s="310">
        <f t="shared" si="7"/>
        <v>0</v>
      </c>
      <c r="I120" s="336">
        <f>'[19]Раз.пос.(Пр.2-24) '!I120+'[19]Перевод ДН дети'!I120+'[19]Перевод 2 этапа ДВН'!I120+'[19]Перевод 2 этапа УД'!I120</f>
        <v>0</v>
      </c>
      <c r="J120" s="310">
        <v>0</v>
      </c>
      <c r="K120" s="310">
        <v>0</v>
      </c>
      <c r="L120" s="310">
        <v>0</v>
      </c>
      <c r="M120" s="310">
        <f>'[19]Раз.пос.(Пр.2-24) '!M120+'[19]Перевод ДН дети'!M120+'[19]Перевод 2 этапа ДВН'!M120+'[19]Перевод 2 этапа УД'!M120</f>
        <v>0</v>
      </c>
      <c r="N120" s="310">
        <f>'[19]Раз.пос.(Пр.2-24) '!N120+'[19]Перевод ДН дети'!N120+'[19]Перевод 2 этапа ДВН'!N120+'[19]Перевод 2 этапа УД'!N120</f>
        <v>0</v>
      </c>
      <c r="O120" s="305">
        <f t="shared" si="8"/>
        <v>0</v>
      </c>
      <c r="P120" s="310">
        <v>0</v>
      </c>
      <c r="Q120" s="310">
        <f>'[19]Раз.пос.(Пр.2-24) '!Q120+'[19]Перевод ДН дети'!Q120+'[19]Перевод 2 этапа ДВН'!Q120+'[19]Перевод 2 этапа УД'!Q120</f>
        <v>0</v>
      </c>
      <c r="R120" s="310">
        <v>0</v>
      </c>
      <c r="S120" s="310">
        <f>'[19]Раз.пос.(Пр.2-24) '!S120+'[19]Перевод ДН дети'!S120+'[19]Перевод 2 этапа ДВН'!S120+'[19]Перевод 2 этапа УД'!S120</f>
        <v>0</v>
      </c>
    </row>
    <row r="121" spans="1:19" x14ac:dyDescent="0.2">
      <c r="A121" s="309">
        <v>108</v>
      </c>
      <c r="B121" s="222" t="s">
        <v>280</v>
      </c>
      <c r="C121" s="317" t="s">
        <v>281</v>
      </c>
      <c r="D121" s="305">
        <f t="shared" si="9"/>
        <v>0</v>
      </c>
      <c r="E121" s="310">
        <f t="shared" si="6"/>
        <v>0</v>
      </c>
      <c r="F121" s="310">
        <v>0</v>
      </c>
      <c r="G121" s="310">
        <v>0</v>
      </c>
      <c r="H121" s="310">
        <f t="shared" si="7"/>
        <v>0</v>
      </c>
      <c r="I121" s="336">
        <f>'[19]Раз.пос.(Пр.2-24) '!I121+'[19]Перевод ДН дети'!I121+'[19]Перевод 2 этапа ДВН'!I121+'[19]Перевод 2 этапа УД'!I121</f>
        <v>0</v>
      </c>
      <c r="J121" s="310">
        <v>0</v>
      </c>
      <c r="K121" s="310">
        <v>0</v>
      </c>
      <c r="L121" s="310">
        <v>0</v>
      </c>
      <c r="M121" s="310">
        <f>'[19]Раз.пос.(Пр.2-24) '!M121+'[19]Перевод ДН дети'!M121+'[19]Перевод 2 этапа ДВН'!M121+'[19]Перевод 2 этапа УД'!M121</f>
        <v>0</v>
      </c>
      <c r="N121" s="310">
        <f>'[19]Раз.пос.(Пр.2-24) '!N121+'[19]Перевод ДН дети'!N121+'[19]Перевод 2 этапа ДВН'!N121+'[19]Перевод 2 этапа УД'!N121</f>
        <v>0</v>
      </c>
      <c r="O121" s="305">
        <f t="shared" si="8"/>
        <v>0</v>
      </c>
      <c r="P121" s="310">
        <v>0</v>
      </c>
      <c r="Q121" s="310">
        <f>'[19]Раз.пос.(Пр.2-24) '!Q121+'[19]Перевод ДН дети'!Q121+'[19]Перевод 2 этапа ДВН'!Q121+'[19]Перевод 2 этапа УД'!Q121</f>
        <v>0</v>
      </c>
      <c r="R121" s="310">
        <v>0</v>
      </c>
      <c r="S121" s="310">
        <f>'[19]Раз.пос.(Пр.2-24) '!S121+'[19]Перевод ДН дети'!S121+'[19]Перевод 2 этапа ДВН'!S121+'[19]Перевод 2 этапа УД'!S121</f>
        <v>0</v>
      </c>
    </row>
    <row r="122" spans="1:19" x14ac:dyDescent="0.2">
      <c r="A122" s="309">
        <v>109</v>
      </c>
      <c r="B122" s="219" t="s">
        <v>282</v>
      </c>
      <c r="C122" s="220" t="s">
        <v>283</v>
      </c>
      <c r="D122" s="305">
        <f t="shared" si="9"/>
        <v>0</v>
      </c>
      <c r="E122" s="310">
        <f t="shared" si="6"/>
        <v>0</v>
      </c>
      <c r="F122" s="310">
        <v>0</v>
      </c>
      <c r="G122" s="310">
        <v>0</v>
      </c>
      <c r="H122" s="310">
        <f t="shared" si="7"/>
        <v>0</v>
      </c>
      <c r="I122" s="336">
        <f>'[19]Раз.пос.(Пр.2-24) '!I122+'[19]Перевод ДН дети'!I122+'[19]Перевод 2 этапа ДВН'!I122+'[19]Перевод 2 этапа УД'!I122</f>
        <v>0</v>
      </c>
      <c r="J122" s="310">
        <v>0</v>
      </c>
      <c r="K122" s="310">
        <v>0</v>
      </c>
      <c r="L122" s="310">
        <v>0</v>
      </c>
      <c r="M122" s="310">
        <f>'[19]Раз.пос.(Пр.2-24) '!M122+'[19]Перевод ДН дети'!M122+'[19]Перевод 2 этапа ДВН'!M122+'[19]Перевод 2 этапа УД'!M122</f>
        <v>0</v>
      </c>
      <c r="N122" s="310">
        <f>'[19]Раз.пос.(Пр.2-24) '!N122+'[19]Перевод ДН дети'!N122+'[19]Перевод 2 этапа ДВН'!N122+'[19]Перевод 2 этапа УД'!N122</f>
        <v>0</v>
      </c>
      <c r="O122" s="305">
        <f t="shared" si="8"/>
        <v>0</v>
      </c>
      <c r="P122" s="310">
        <v>0</v>
      </c>
      <c r="Q122" s="310">
        <f>'[19]Раз.пос.(Пр.2-24) '!Q122+'[19]Перевод ДН дети'!Q122+'[19]Перевод 2 этапа ДВН'!Q122+'[19]Перевод 2 этапа УД'!Q122</f>
        <v>0</v>
      </c>
      <c r="R122" s="310">
        <v>0</v>
      </c>
      <c r="S122" s="310">
        <f>'[19]Раз.пос.(Пр.2-24) '!S122+'[19]Перевод ДН дети'!S122+'[19]Перевод 2 этапа ДВН'!S122+'[19]Перевод 2 этапа УД'!S122</f>
        <v>0</v>
      </c>
    </row>
    <row r="123" spans="1:19" x14ac:dyDescent="0.2">
      <c r="A123" s="309">
        <v>110</v>
      </c>
      <c r="B123" s="224" t="s">
        <v>284</v>
      </c>
      <c r="C123" s="220" t="s">
        <v>285</v>
      </c>
      <c r="D123" s="305">
        <f t="shared" si="9"/>
        <v>0</v>
      </c>
      <c r="E123" s="310">
        <f t="shared" si="6"/>
        <v>0</v>
      </c>
      <c r="F123" s="310">
        <v>0</v>
      </c>
      <c r="G123" s="310">
        <v>0</v>
      </c>
      <c r="H123" s="310">
        <f t="shared" si="7"/>
        <v>0</v>
      </c>
      <c r="I123" s="336">
        <f>'[19]Раз.пос.(Пр.2-24) '!I123+'[19]Перевод ДН дети'!I123+'[19]Перевод 2 этапа ДВН'!I123+'[19]Перевод 2 этапа УД'!I123</f>
        <v>0</v>
      </c>
      <c r="J123" s="310">
        <v>0</v>
      </c>
      <c r="K123" s="310">
        <v>0</v>
      </c>
      <c r="L123" s="310">
        <v>0</v>
      </c>
      <c r="M123" s="310">
        <f>'[19]Раз.пос.(Пр.2-24) '!M123+'[19]Перевод ДН дети'!M123+'[19]Перевод 2 этапа ДВН'!M123+'[19]Перевод 2 этапа УД'!M123</f>
        <v>0</v>
      </c>
      <c r="N123" s="310">
        <f>'[19]Раз.пос.(Пр.2-24) '!N123+'[19]Перевод ДН дети'!N123+'[19]Перевод 2 этапа ДВН'!N123+'[19]Перевод 2 этапа УД'!N123</f>
        <v>0</v>
      </c>
      <c r="O123" s="305">
        <f t="shared" si="8"/>
        <v>0</v>
      </c>
      <c r="P123" s="310">
        <v>0</v>
      </c>
      <c r="Q123" s="310">
        <f>'[19]Раз.пос.(Пр.2-24) '!Q123+'[19]Перевод ДН дети'!Q123+'[19]Перевод 2 этапа ДВН'!Q123+'[19]Перевод 2 этапа УД'!Q123</f>
        <v>0</v>
      </c>
      <c r="R123" s="310">
        <v>0</v>
      </c>
      <c r="S123" s="310">
        <f>'[19]Раз.пос.(Пр.2-24) '!S123+'[19]Перевод ДН дети'!S123+'[19]Перевод 2 этапа ДВН'!S123+'[19]Перевод 2 этапа УД'!S123</f>
        <v>0</v>
      </c>
    </row>
    <row r="124" spans="1:19" x14ac:dyDescent="0.2">
      <c r="A124" s="309">
        <v>111</v>
      </c>
      <c r="B124" s="215" t="s">
        <v>780</v>
      </c>
      <c r="C124" s="216" t="s">
        <v>737</v>
      </c>
      <c r="D124" s="305">
        <f t="shared" si="9"/>
        <v>0</v>
      </c>
      <c r="E124" s="310">
        <f t="shared" si="6"/>
        <v>0</v>
      </c>
      <c r="F124" s="310">
        <v>0</v>
      </c>
      <c r="G124" s="310">
        <v>0</v>
      </c>
      <c r="H124" s="310">
        <f t="shared" si="7"/>
        <v>0</v>
      </c>
      <c r="I124" s="336">
        <f>'[19]Раз.пос.(Пр.2-24) '!I124+'[19]Перевод ДН дети'!I124+'[19]Перевод 2 этапа ДВН'!I124+'[19]Перевод 2 этапа УД'!I124</f>
        <v>0</v>
      </c>
      <c r="J124" s="310">
        <v>0</v>
      </c>
      <c r="K124" s="310">
        <v>0</v>
      </c>
      <c r="L124" s="310">
        <v>0</v>
      </c>
      <c r="M124" s="310">
        <f>'[19]Раз.пос.(Пр.2-24) '!M124+'[19]Перевод ДН дети'!M124+'[19]Перевод 2 этапа ДВН'!M124+'[19]Перевод 2 этапа УД'!M124</f>
        <v>0</v>
      </c>
      <c r="N124" s="310">
        <f>'[19]Раз.пос.(Пр.2-24) '!N124+'[19]Перевод ДН дети'!N124+'[19]Перевод 2 этапа ДВН'!N124+'[19]Перевод 2 этапа УД'!N124</f>
        <v>0</v>
      </c>
      <c r="O124" s="305">
        <f t="shared" si="8"/>
        <v>0</v>
      </c>
      <c r="P124" s="310">
        <v>0</v>
      </c>
      <c r="Q124" s="310">
        <f>'[19]Раз.пос.(Пр.2-24) '!Q124+'[19]Перевод ДН дети'!Q124+'[19]Перевод 2 этапа ДВН'!Q124+'[19]Перевод 2 этапа УД'!Q124</f>
        <v>0</v>
      </c>
      <c r="R124" s="310">
        <v>0</v>
      </c>
      <c r="S124" s="310">
        <f>'[19]Раз.пос.(Пр.2-24) '!S124+'[19]Перевод ДН дети'!S124+'[19]Перевод 2 этапа ДВН'!S124+'[19]Перевод 2 этапа УД'!S124</f>
        <v>0</v>
      </c>
    </row>
    <row r="125" spans="1:19" x14ac:dyDescent="0.2">
      <c r="A125" s="309">
        <v>112</v>
      </c>
      <c r="B125" s="224" t="s">
        <v>286</v>
      </c>
      <c r="C125" s="220" t="s">
        <v>287</v>
      </c>
      <c r="D125" s="305">
        <f t="shared" si="9"/>
        <v>0</v>
      </c>
      <c r="E125" s="310">
        <f t="shared" si="6"/>
        <v>0</v>
      </c>
      <c r="F125" s="310">
        <v>0</v>
      </c>
      <c r="G125" s="310">
        <v>0</v>
      </c>
      <c r="H125" s="310">
        <f t="shared" si="7"/>
        <v>0</v>
      </c>
      <c r="I125" s="336">
        <f>'[19]Раз.пос.(Пр.2-24) '!I125+'[19]Перевод ДН дети'!I125+'[19]Перевод 2 этапа ДВН'!I125+'[19]Перевод 2 этапа УД'!I125</f>
        <v>0</v>
      </c>
      <c r="J125" s="310">
        <v>0</v>
      </c>
      <c r="K125" s="310">
        <v>0</v>
      </c>
      <c r="L125" s="310">
        <v>0</v>
      </c>
      <c r="M125" s="310">
        <f>'[19]Раз.пос.(Пр.2-24) '!M125+'[19]Перевод ДН дети'!M125+'[19]Перевод 2 этапа ДВН'!M125+'[19]Перевод 2 этапа УД'!M125</f>
        <v>0</v>
      </c>
      <c r="N125" s="310">
        <f>'[19]Раз.пос.(Пр.2-24) '!N125+'[19]Перевод ДН дети'!N125+'[19]Перевод 2 этапа ДВН'!N125+'[19]Перевод 2 этапа УД'!N125</f>
        <v>0</v>
      </c>
      <c r="O125" s="305">
        <f t="shared" si="8"/>
        <v>0</v>
      </c>
      <c r="P125" s="310">
        <v>0</v>
      </c>
      <c r="Q125" s="310">
        <f>'[19]Раз.пос.(Пр.2-24) '!Q125+'[19]Перевод ДН дети'!Q125+'[19]Перевод 2 этапа ДВН'!Q125+'[19]Перевод 2 этапа УД'!Q125</f>
        <v>0</v>
      </c>
      <c r="R125" s="310">
        <v>0</v>
      </c>
      <c r="S125" s="310">
        <f>'[19]Раз.пос.(Пр.2-24) '!S125+'[19]Перевод ДН дети'!S125+'[19]Перевод 2 этапа ДВН'!S125+'[19]Перевод 2 этапа УД'!S125</f>
        <v>0</v>
      </c>
    </row>
    <row r="126" spans="1:19" x14ac:dyDescent="0.2">
      <c r="A126" s="309">
        <v>113</v>
      </c>
      <c r="B126" s="224" t="s">
        <v>288</v>
      </c>
      <c r="C126" s="216" t="s">
        <v>738</v>
      </c>
      <c r="D126" s="305">
        <f t="shared" si="9"/>
        <v>0</v>
      </c>
      <c r="E126" s="310">
        <f t="shared" si="6"/>
        <v>0</v>
      </c>
      <c r="F126" s="310">
        <v>0</v>
      </c>
      <c r="G126" s="310">
        <v>0</v>
      </c>
      <c r="H126" s="310">
        <f t="shared" si="7"/>
        <v>0</v>
      </c>
      <c r="I126" s="336">
        <f>'[19]Раз.пос.(Пр.2-24) '!I126+'[19]Перевод ДН дети'!I126+'[19]Перевод 2 этапа ДВН'!I126+'[19]Перевод 2 этапа УД'!I126</f>
        <v>0</v>
      </c>
      <c r="J126" s="310">
        <v>0</v>
      </c>
      <c r="K126" s="310">
        <v>0</v>
      </c>
      <c r="L126" s="310">
        <v>0</v>
      </c>
      <c r="M126" s="337">
        <f>'[19]Раз.пос.(Пр.2-24) '!M126+'[19]Перевод ДН дети'!M126+'[19]Перевод 2 этапа ДВН'!M126+'[19]Перевод 2 этапа УД'!M126</f>
        <v>0</v>
      </c>
      <c r="N126" s="337">
        <f>'[19]Раз.пос.(Пр.2-24) '!N126+'[19]Перевод ДН дети'!N126+'[19]Перевод 2 этапа ДВН'!N126+'[19]Перевод 2 этапа УД'!N126</f>
        <v>0</v>
      </c>
      <c r="O126" s="305">
        <f t="shared" si="8"/>
        <v>0</v>
      </c>
      <c r="P126" s="310">
        <v>0</v>
      </c>
      <c r="Q126" s="310">
        <f>'[19]Раз.пос.(Пр.2-24) '!Q126+'[19]Перевод ДН дети'!Q126+'[19]Перевод 2 этапа ДВН'!Q126+'[19]Перевод 2 этапа УД'!Q126</f>
        <v>0</v>
      </c>
      <c r="R126" s="310">
        <v>0</v>
      </c>
      <c r="S126" s="310">
        <f>'[19]Раз.пос.(Пр.2-24) '!S126+'[19]Перевод ДН дети'!S126+'[19]Перевод 2 этапа ДВН'!S126+'[19]Перевод 2 этапа УД'!S126</f>
        <v>0</v>
      </c>
    </row>
    <row r="127" spans="1:19" x14ac:dyDescent="0.2">
      <c r="A127" s="309">
        <v>114</v>
      </c>
      <c r="B127" s="219" t="s">
        <v>290</v>
      </c>
      <c r="C127" s="220" t="s">
        <v>291</v>
      </c>
      <c r="D127" s="305">
        <f t="shared" si="9"/>
        <v>8568</v>
      </c>
      <c r="E127" s="310">
        <f t="shared" si="6"/>
        <v>8568</v>
      </c>
      <c r="F127" s="310">
        <v>0</v>
      </c>
      <c r="G127" s="310">
        <v>8568</v>
      </c>
      <c r="H127" s="310">
        <f t="shared" si="7"/>
        <v>0</v>
      </c>
      <c r="I127" s="336">
        <f>'[19]Раз.пос.(Пр.2-24) '!I127+'[19]Перевод ДН дети'!I127+'[19]Перевод 2 этапа ДВН'!I127+'[19]Перевод 2 этапа УД'!I127</f>
        <v>0</v>
      </c>
      <c r="J127" s="310">
        <v>0</v>
      </c>
      <c r="K127" s="310">
        <v>0</v>
      </c>
      <c r="L127" s="310">
        <v>0</v>
      </c>
      <c r="M127" s="337">
        <f>'[19]Раз.пос.(Пр.2-24) '!M127+'[19]Перевод ДН дети'!M127+'[19]Перевод 2 этапа ДВН'!M127+'[19]Перевод 2 этапа УД'!M127</f>
        <v>0</v>
      </c>
      <c r="N127" s="337">
        <f>'[19]Раз.пос.(Пр.2-24) '!N127+'[19]Перевод ДН дети'!N127+'[19]Перевод 2 этапа ДВН'!N127+'[19]Перевод 2 этапа УД'!N127</f>
        <v>0</v>
      </c>
      <c r="O127" s="305">
        <f t="shared" si="8"/>
        <v>0</v>
      </c>
      <c r="P127" s="310">
        <v>0</v>
      </c>
      <c r="Q127" s="310">
        <f>'[19]Раз.пос.(Пр.2-24) '!Q127+'[19]Перевод ДН дети'!Q127+'[19]Перевод 2 этапа ДВН'!Q127+'[19]Перевод 2 этапа УД'!Q127</f>
        <v>0</v>
      </c>
      <c r="R127" s="310">
        <v>0</v>
      </c>
      <c r="S127" s="310">
        <f>'[19]Раз.пос.(Пр.2-24) '!S127+'[19]Перевод ДН дети'!S127+'[19]Перевод 2 этапа ДВН'!S127+'[19]Перевод 2 этапа УД'!S127</f>
        <v>0</v>
      </c>
    </row>
    <row r="128" spans="1:19" ht="24" x14ac:dyDescent="0.2">
      <c r="A128" s="309">
        <v>115</v>
      </c>
      <c r="B128" s="219" t="s">
        <v>292</v>
      </c>
      <c r="C128" s="311" t="s">
        <v>293</v>
      </c>
      <c r="D128" s="305">
        <f t="shared" si="9"/>
        <v>0</v>
      </c>
      <c r="E128" s="310">
        <f t="shared" si="6"/>
        <v>0</v>
      </c>
      <c r="F128" s="310">
        <v>0</v>
      </c>
      <c r="G128" s="310">
        <v>0</v>
      </c>
      <c r="H128" s="310">
        <f t="shared" si="7"/>
        <v>0</v>
      </c>
      <c r="I128" s="336">
        <f>'[19]Раз.пос.(Пр.2-24) '!I128+'[19]Перевод ДН дети'!I128+'[19]Перевод 2 этапа ДВН'!I128+'[19]Перевод 2 этапа УД'!I128</f>
        <v>0</v>
      </c>
      <c r="J128" s="310">
        <v>0</v>
      </c>
      <c r="K128" s="310">
        <v>0</v>
      </c>
      <c r="L128" s="310">
        <v>0</v>
      </c>
      <c r="M128" s="337">
        <f>'[19]Раз.пос.(Пр.2-24) '!M128+'[19]Перевод ДН дети'!M128+'[19]Перевод 2 этапа ДВН'!M128+'[19]Перевод 2 этапа УД'!M128</f>
        <v>0</v>
      </c>
      <c r="N128" s="337">
        <f>'[19]Раз.пос.(Пр.2-24) '!N128+'[19]Перевод ДН дети'!N128+'[19]Перевод 2 этапа ДВН'!N128+'[19]Перевод 2 этапа УД'!N128</f>
        <v>0</v>
      </c>
      <c r="O128" s="305">
        <f t="shared" si="8"/>
        <v>0</v>
      </c>
      <c r="P128" s="310">
        <v>0</v>
      </c>
      <c r="Q128" s="310">
        <f>'[19]Раз.пос.(Пр.2-24) '!Q128+'[19]Перевод ДН дети'!Q128+'[19]Перевод 2 этапа ДВН'!Q128+'[19]Перевод 2 этапа УД'!Q128</f>
        <v>0</v>
      </c>
      <c r="R128" s="310">
        <v>0</v>
      </c>
      <c r="S128" s="310">
        <f>'[19]Раз.пос.(Пр.2-24) '!S128+'[19]Перевод ДН дети'!S128+'[19]Перевод 2 этапа ДВН'!S128+'[19]Перевод 2 этапа УД'!S128</f>
        <v>0</v>
      </c>
    </row>
    <row r="129" spans="1:19" x14ac:dyDescent="0.2">
      <c r="A129" s="309">
        <v>116</v>
      </c>
      <c r="B129" s="219" t="s">
        <v>294</v>
      </c>
      <c r="C129" s="220" t="s">
        <v>295</v>
      </c>
      <c r="D129" s="305">
        <f t="shared" si="9"/>
        <v>223231</v>
      </c>
      <c r="E129" s="310">
        <f t="shared" si="6"/>
        <v>0</v>
      </c>
      <c r="F129" s="310">
        <v>0</v>
      </c>
      <c r="G129" s="310">
        <v>0</v>
      </c>
      <c r="H129" s="310">
        <f t="shared" si="7"/>
        <v>0</v>
      </c>
      <c r="I129" s="336">
        <f>'[19]Раз.пос.(Пр.2-24) '!I129+'[19]Перевод ДН дети'!I129+'[19]Перевод 2 этапа ДВН'!I129+'[19]Перевод 2 этапа УД'!I129</f>
        <v>0</v>
      </c>
      <c r="J129" s="310">
        <v>0</v>
      </c>
      <c r="K129" s="310">
        <v>0</v>
      </c>
      <c r="L129" s="310">
        <v>0</v>
      </c>
      <c r="M129" s="337">
        <f>'[19]Раз.пос.(Пр.2-24) '!M129+'[19]Перевод ДН дети'!M129+'[19]Перевод 2 этапа ДВН'!M129+'[19]Перевод 2 этапа УД'!M129</f>
        <v>0</v>
      </c>
      <c r="N129" s="337">
        <f>'[19]Раз.пос.(Пр.2-24) '!N129+'[19]Перевод ДН дети'!N129+'[19]Перевод 2 этапа ДВН'!N129+'[19]Перевод 2 этапа УД'!N129</f>
        <v>0</v>
      </c>
      <c r="O129" s="305">
        <f t="shared" si="8"/>
        <v>223231</v>
      </c>
      <c r="P129" s="310">
        <v>0</v>
      </c>
      <c r="Q129" s="310">
        <f>'[19]Раз.пос.(Пр.2-24) '!Q129+'[19]Перевод ДН дети'!Q129+'[19]Перевод 2 этапа ДВН'!Q129+'[19]Перевод 2 этапа УД'!Q129</f>
        <v>0</v>
      </c>
      <c r="R129" s="310">
        <v>223231</v>
      </c>
      <c r="S129" s="310">
        <f>'[19]Раз.пос.(Пр.2-24) '!S129+'[19]Перевод ДН дети'!S129+'[19]Перевод 2 этапа ДВН'!S129+'[19]Перевод 2 этапа УД'!S129</f>
        <v>0</v>
      </c>
    </row>
    <row r="130" spans="1:19" x14ac:dyDescent="0.2">
      <c r="A130" s="309">
        <v>117</v>
      </c>
      <c r="B130" s="219" t="s">
        <v>70</v>
      </c>
      <c r="C130" s="220" t="s">
        <v>296</v>
      </c>
      <c r="D130" s="305">
        <f t="shared" si="9"/>
        <v>150000</v>
      </c>
      <c r="E130" s="310">
        <f t="shared" si="6"/>
        <v>0</v>
      </c>
      <c r="F130" s="310">
        <v>0</v>
      </c>
      <c r="G130" s="310">
        <v>0</v>
      </c>
      <c r="H130" s="310">
        <f t="shared" si="7"/>
        <v>0</v>
      </c>
      <c r="I130" s="336">
        <f>'[19]Раз.пос.(Пр.2-24) '!I130+'[19]Перевод ДН дети'!I130+'[19]Перевод 2 этапа ДВН'!I130+'[19]Перевод 2 этапа УД'!I130</f>
        <v>0</v>
      </c>
      <c r="J130" s="310">
        <v>0</v>
      </c>
      <c r="K130" s="310">
        <v>0</v>
      </c>
      <c r="L130" s="310">
        <v>0</v>
      </c>
      <c r="M130" s="337">
        <f>'[19]Раз.пос.(Пр.2-24) '!M130+'[19]Перевод ДН дети'!M130+'[19]Перевод 2 этапа ДВН'!M130+'[19]Перевод 2 этапа УД'!M130</f>
        <v>0</v>
      </c>
      <c r="N130" s="337">
        <f>'[19]Раз.пос.(Пр.2-24) '!N130+'[19]Перевод ДН дети'!N130+'[19]Перевод 2 этапа ДВН'!N130+'[19]Перевод 2 этапа УД'!N130</f>
        <v>0</v>
      </c>
      <c r="O130" s="305">
        <f t="shared" si="8"/>
        <v>150000</v>
      </c>
      <c r="P130" s="310">
        <v>0</v>
      </c>
      <c r="Q130" s="310">
        <f>'[19]Раз.пос.(Пр.2-24) '!Q130+'[19]Перевод ДН дети'!Q130+'[19]Перевод 2 этапа ДВН'!Q130+'[19]Перевод 2 этапа УД'!Q130</f>
        <v>0</v>
      </c>
      <c r="R130" s="310">
        <v>150000</v>
      </c>
      <c r="S130" s="310">
        <f>'[19]Раз.пос.(Пр.2-24) '!S130+'[19]Перевод ДН дети'!S130+'[19]Перевод 2 этапа ДВН'!S130+'[19]Перевод 2 этапа УД'!S130</f>
        <v>0</v>
      </c>
    </row>
    <row r="131" spans="1:19" x14ac:dyDescent="0.2">
      <c r="A131" s="309">
        <v>118</v>
      </c>
      <c r="B131" s="219" t="s">
        <v>72</v>
      </c>
      <c r="C131" s="220" t="s">
        <v>73</v>
      </c>
      <c r="D131" s="305">
        <f t="shared" si="9"/>
        <v>90000</v>
      </c>
      <c r="E131" s="310">
        <f t="shared" si="6"/>
        <v>0</v>
      </c>
      <c r="F131" s="310">
        <v>0</v>
      </c>
      <c r="G131" s="310">
        <v>0</v>
      </c>
      <c r="H131" s="310">
        <f t="shared" si="7"/>
        <v>0</v>
      </c>
      <c r="I131" s="336">
        <f>'[19]Раз.пос.(Пр.2-24) '!I131+'[19]Перевод ДН дети'!I131+'[19]Перевод 2 этапа ДВН'!I131+'[19]Перевод 2 этапа УД'!I131</f>
        <v>0</v>
      </c>
      <c r="J131" s="310">
        <v>0</v>
      </c>
      <c r="K131" s="310">
        <v>0</v>
      </c>
      <c r="L131" s="310">
        <v>0</v>
      </c>
      <c r="M131" s="337">
        <f>'[19]Раз.пос.(Пр.2-24) '!M131+'[19]Перевод ДН дети'!M131+'[19]Перевод 2 этапа ДВН'!M131+'[19]Перевод 2 этапа УД'!M131</f>
        <v>0</v>
      </c>
      <c r="N131" s="337">
        <f>'[19]Раз.пос.(Пр.2-24) '!N131+'[19]Перевод ДН дети'!N131+'[19]Перевод 2 этапа ДВН'!N131+'[19]Перевод 2 этапа УД'!N131</f>
        <v>0</v>
      </c>
      <c r="O131" s="305">
        <f t="shared" si="8"/>
        <v>90000</v>
      </c>
      <c r="P131" s="310">
        <v>0</v>
      </c>
      <c r="Q131" s="310">
        <f>'[19]Раз.пос.(Пр.2-24) '!Q131+'[19]Перевод ДН дети'!Q131+'[19]Перевод 2 этапа ДВН'!Q131+'[19]Перевод 2 этапа УД'!Q131</f>
        <v>0</v>
      </c>
      <c r="R131" s="310">
        <f>89700+300</f>
        <v>90000</v>
      </c>
      <c r="S131" s="310">
        <f>'[19]Раз.пос.(Пр.2-24) '!S131+'[19]Перевод ДН дети'!S131+'[19]Перевод 2 этапа ДВН'!S131+'[19]Перевод 2 этапа УД'!S131</f>
        <v>300</v>
      </c>
    </row>
    <row r="132" spans="1:19" x14ac:dyDescent="0.2">
      <c r="A132" s="309">
        <v>119</v>
      </c>
      <c r="B132" s="222" t="s">
        <v>34</v>
      </c>
      <c r="C132" s="220" t="s">
        <v>35</v>
      </c>
      <c r="D132" s="305">
        <f t="shared" si="9"/>
        <v>123660</v>
      </c>
      <c r="E132" s="310">
        <f t="shared" si="6"/>
        <v>0</v>
      </c>
      <c r="F132" s="310">
        <v>0</v>
      </c>
      <c r="G132" s="310">
        <v>0</v>
      </c>
      <c r="H132" s="310">
        <f t="shared" si="7"/>
        <v>0</v>
      </c>
      <c r="I132" s="336">
        <f>'[19]Раз.пос.(Пр.2-24) '!I132+'[19]Перевод ДН дети'!I132+'[19]Перевод 2 этапа ДВН'!I132+'[19]Перевод 2 этапа УД'!I132</f>
        <v>0</v>
      </c>
      <c r="J132" s="305">
        <v>0</v>
      </c>
      <c r="K132" s="310">
        <v>0</v>
      </c>
      <c r="L132" s="310">
        <v>0</v>
      </c>
      <c r="M132" s="337">
        <f>'[19]Раз.пос.(Пр.2-24) '!M132+'[19]Перевод ДН дети'!M132+'[19]Перевод 2 этапа ДВН'!M132+'[19]Перевод 2 этапа УД'!M132</f>
        <v>0</v>
      </c>
      <c r="N132" s="337">
        <f>'[19]Раз.пос.(Пр.2-24) '!N132+'[19]Перевод ДН дети'!N132+'[19]Перевод 2 этапа ДВН'!N132+'[19]Перевод 2 этапа УД'!N132</f>
        <v>0</v>
      </c>
      <c r="O132" s="305">
        <f t="shared" si="8"/>
        <v>123660</v>
      </c>
      <c r="P132" s="310">
        <v>0</v>
      </c>
      <c r="Q132" s="310">
        <f>'[19]Раз.пос.(Пр.2-24) '!Q132+'[19]Перевод ДН дети'!Q132+'[19]Перевод 2 этапа ДВН'!Q132+'[19]Перевод 2 этапа УД'!Q132</f>
        <v>1695</v>
      </c>
      <c r="R132" s="310">
        <v>121965</v>
      </c>
      <c r="S132" s="310">
        <f>'[19]Раз.пос.(Пр.2-24) '!S132+'[19]Перевод ДН дети'!S132+'[19]Перевод 2 этапа ДВН'!S132+'[19]Перевод 2 этапа УД'!S132</f>
        <v>0</v>
      </c>
    </row>
    <row r="133" spans="1:19" x14ac:dyDescent="0.2">
      <c r="A133" s="309">
        <v>120</v>
      </c>
      <c r="B133" s="222" t="s">
        <v>297</v>
      </c>
      <c r="C133" s="220" t="s">
        <v>298</v>
      </c>
      <c r="D133" s="305">
        <f t="shared" si="9"/>
        <v>75722</v>
      </c>
      <c r="E133" s="310">
        <f t="shared" si="6"/>
        <v>10366</v>
      </c>
      <c r="F133" s="310">
        <v>0</v>
      </c>
      <c r="G133" s="310">
        <v>10366</v>
      </c>
      <c r="H133" s="310">
        <f t="shared" si="7"/>
        <v>0</v>
      </c>
      <c r="I133" s="336">
        <f>'[19]Раз.пос.(Пр.2-24) '!I133+'[19]Перевод ДН дети'!I133+'[19]Перевод 2 этапа ДВН'!I133+'[19]Перевод 2 этапа УД'!I133</f>
        <v>0</v>
      </c>
      <c r="J133" s="310">
        <v>0</v>
      </c>
      <c r="K133" s="310">
        <v>0</v>
      </c>
      <c r="L133" s="310">
        <v>0</v>
      </c>
      <c r="M133" s="337">
        <f>'[19]Раз.пос.(Пр.2-24) '!M133+'[19]Перевод ДН дети'!M133+'[19]Перевод 2 этапа ДВН'!M133+'[19]Перевод 2 этапа УД'!M133</f>
        <v>0</v>
      </c>
      <c r="N133" s="337">
        <f>'[19]Раз.пос.(Пр.2-24) '!N133+'[19]Перевод ДН дети'!N133+'[19]Перевод 2 этапа ДВН'!N133+'[19]Перевод 2 этапа УД'!N133</f>
        <v>0</v>
      </c>
      <c r="O133" s="305">
        <f t="shared" si="8"/>
        <v>65356</v>
      </c>
      <c r="P133" s="310">
        <v>0</v>
      </c>
      <c r="Q133" s="310">
        <f>'[19]Раз.пос.(Пр.2-24) '!Q133+'[19]Перевод ДН дети'!Q133+'[19]Перевод 2 этапа ДВН'!Q133+'[19]Перевод 2 этапа УД'!Q133</f>
        <v>0</v>
      </c>
      <c r="R133" s="310">
        <v>65356</v>
      </c>
      <c r="S133" s="310">
        <f>'[19]Раз.пос.(Пр.2-24) '!S133+'[19]Перевод ДН дети'!S133+'[19]Перевод 2 этапа ДВН'!S133+'[19]Перевод 2 этапа УД'!S133</f>
        <v>0</v>
      </c>
    </row>
    <row r="134" spans="1:19" x14ac:dyDescent="0.2">
      <c r="A134" s="309">
        <v>121</v>
      </c>
      <c r="B134" s="222" t="s">
        <v>299</v>
      </c>
      <c r="C134" s="220" t="s">
        <v>300</v>
      </c>
      <c r="D134" s="305">
        <f t="shared" si="9"/>
        <v>30645</v>
      </c>
      <c r="E134" s="310">
        <f t="shared" si="6"/>
        <v>21645</v>
      </c>
      <c r="F134" s="310">
        <v>0</v>
      </c>
      <c r="G134" s="310">
        <v>21645</v>
      </c>
      <c r="H134" s="310">
        <f t="shared" si="7"/>
        <v>0</v>
      </c>
      <c r="I134" s="336">
        <f>'[19]Раз.пос.(Пр.2-24) '!I134+'[19]Перевод ДН дети'!I134+'[19]Перевод 2 этапа ДВН'!I134+'[19]Перевод 2 этапа УД'!I134</f>
        <v>0</v>
      </c>
      <c r="J134" s="310">
        <v>0</v>
      </c>
      <c r="K134" s="310">
        <v>0</v>
      </c>
      <c r="L134" s="310">
        <v>0</v>
      </c>
      <c r="M134" s="337">
        <f>'[19]Раз.пос.(Пр.2-24) '!M134+'[19]Перевод ДН дети'!M134+'[19]Перевод 2 этапа ДВН'!M134+'[19]Перевод 2 этапа УД'!M134</f>
        <v>0</v>
      </c>
      <c r="N134" s="337">
        <f>'[19]Раз.пос.(Пр.2-24) '!N134+'[19]Перевод ДН дети'!N134+'[19]Перевод 2 этапа ДВН'!N134+'[19]Перевод 2 этапа УД'!N134</f>
        <v>0</v>
      </c>
      <c r="O134" s="305">
        <f t="shared" si="8"/>
        <v>9000</v>
      </c>
      <c r="P134" s="310">
        <v>0</v>
      </c>
      <c r="Q134" s="310">
        <f>'[19]Раз.пос.(Пр.2-24) '!Q134+'[19]Перевод ДН дети'!Q134+'[19]Перевод 2 этапа ДВН'!Q134+'[19]Перевод 2 этапа УД'!Q134</f>
        <v>0</v>
      </c>
      <c r="R134" s="310">
        <v>9000</v>
      </c>
      <c r="S134" s="310">
        <f>'[19]Раз.пос.(Пр.2-24) '!S134+'[19]Перевод ДН дети'!S134+'[19]Перевод 2 этапа ДВН'!S134+'[19]Перевод 2 этапа УД'!S134</f>
        <v>0</v>
      </c>
    </row>
    <row r="135" spans="1:19" x14ac:dyDescent="0.2">
      <c r="A135" s="309">
        <v>122</v>
      </c>
      <c r="B135" s="219" t="s">
        <v>301</v>
      </c>
      <c r="C135" s="220" t="s">
        <v>302</v>
      </c>
      <c r="D135" s="305">
        <f t="shared" si="9"/>
        <v>90522</v>
      </c>
      <c r="E135" s="310">
        <f t="shared" si="6"/>
        <v>0</v>
      </c>
      <c r="F135" s="310">
        <v>0</v>
      </c>
      <c r="G135" s="310">
        <v>0</v>
      </c>
      <c r="H135" s="310">
        <f t="shared" si="7"/>
        <v>0</v>
      </c>
      <c r="I135" s="336">
        <f>'[19]Раз.пос.(Пр.2-24) '!I135+'[19]Перевод ДН дети'!I135+'[19]Перевод 2 этапа ДВН'!I135+'[19]Перевод 2 этапа УД'!I135</f>
        <v>0</v>
      </c>
      <c r="J135" s="310">
        <v>0</v>
      </c>
      <c r="K135" s="310">
        <v>0</v>
      </c>
      <c r="L135" s="310">
        <v>0</v>
      </c>
      <c r="M135" s="337">
        <f>'[19]Раз.пос.(Пр.2-24) '!M135+'[19]Перевод ДН дети'!M135+'[19]Перевод 2 этапа ДВН'!M135+'[19]Перевод 2 этапа УД'!M135</f>
        <v>0</v>
      </c>
      <c r="N135" s="337">
        <f>'[19]Раз.пос.(Пр.2-24) '!N135+'[19]Перевод ДН дети'!N135+'[19]Перевод 2 этапа ДВН'!N135+'[19]Перевод 2 этапа УД'!N135</f>
        <v>0</v>
      </c>
      <c r="O135" s="305">
        <f t="shared" si="8"/>
        <v>90522</v>
      </c>
      <c r="P135" s="310">
        <v>0</v>
      </c>
      <c r="Q135" s="310">
        <f>'[19]Раз.пос.(Пр.2-24) '!Q135+'[19]Перевод ДН дети'!Q135+'[19]Перевод 2 этапа ДВН'!Q135+'[19]Перевод 2 этапа УД'!Q135</f>
        <v>0</v>
      </c>
      <c r="R135" s="310">
        <v>90522</v>
      </c>
      <c r="S135" s="310">
        <f>'[19]Раз.пос.(Пр.2-24) '!S135+'[19]Перевод ДН дети'!S135+'[19]Перевод 2 этапа ДВН'!S135+'[19]Перевод 2 этапа УД'!S135</f>
        <v>0</v>
      </c>
    </row>
    <row r="136" spans="1:19" x14ac:dyDescent="0.2">
      <c r="A136" s="309">
        <v>123</v>
      </c>
      <c r="B136" s="219" t="s">
        <v>16</v>
      </c>
      <c r="C136" s="220" t="s">
        <v>17</v>
      </c>
      <c r="D136" s="305">
        <f t="shared" si="9"/>
        <v>200</v>
      </c>
      <c r="E136" s="310">
        <f t="shared" si="6"/>
        <v>0</v>
      </c>
      <c r="F136" s="310">
        <v>0</v>
      </c>
      <c r="G136" s="310">
        <v>0</v>
      </c>
      <c r="H136" s="310">
        <f t="shared" si="7"/>
        <v>0</v>
      </c>
      <c r="I136" s="336">
        <f>'[19]Раз.пос.(Пр.2-24) '!I136+'[19]Перевод ДН дети'!I136+'[19]Перевод 2 этапа ДВН'!I136+'[19]Перевод 2 этапа УД'!I136</f>
        <v>0</v>
      </c>
      <c r="J136" s="310">
        <v>0</v>
      </c>
      <c r="K136" s="310">
        <v>0</v>
      </c>
      <c r="L136" s="310">
        <v>0</v>
      </c>
      <c r="M136" s="337">
        <f>'[19]Раз.пос.(Пр.2-24) '!M136+'[19]Перевод ДН дети'!M136+'[19]Перевод 2 этапа ДВН'!M136+'[19]Перевод 2 этапа УД'!M136</f>
        <v>0</v>
      </c>
      <c r="N136" s="337">
        <f>'[19]Раз.пос.(Пр.2-24) '!N136+'[19]Перевод ДН дети'!N136+'[19]Перевод 2 этапа ДВН'!N136+'[19]Перевод 2 этапа УД'!N136</f>
        <v>0</v>
      </c>
      <c r="O136" s="305">
        <f t="shared" si="8"/>
        <v>200</v>
      </c>
      <c r="P136" s="310">
        <v>0</v>
      </c>
      <c r="Q136" s="310">
        <f>'[19]Раз.пос.(Пр.2-24) '!Q136+'[19]Перевод ДН дети'!Q136+'[19]Перевод 2 этапа ДВН'!Q136+'[19]Перевод 2 этапа УД'!Q136</f>
        <v>0</v>
      </c>
      <c r="R136" s="310">
        <v>200</v>
      </c>
      <c r="S136" s="310">
        <f>'[19]Раз.пос.(Пр.2-24) '!S136+'[19]Перевод ДН дети'!S136+'[19]Перевод 2 этапа ДВН'!S136+'[19]Перевод 2 этапа УД'!S136</f>
        <v>0</v>
      </c>
    </row>
    <row r="137" spans="1:19" x14ac:dyDescent="0.2">
      <c r="A137" s="309">
        <v>124</v>
      </c>
      <c r="B137" s="219" t="s">
        <v>68</v>
      </c>
      <c r="C137" s="220" t="s">
        <v>69</v>
      </c>
      <c r="D137" s="305">
        <f t="shared" si="9"/>
        <v>58392</v>
      </c>
      <c r="E137" s="310">
        <f t="shared" si="6"/>
        <v>0</v>
      </c>
      <c r="F137" s="310">
        <v>0</v>
      </c>
      <c r="G137" s="310">
        <v>0</v>
      </c>
      <c r="H137" s="310">
        <f t="shared" si="7"/>
        <v>0</v>
      </c>
      <c r="I137" s="336">
        <f>'[19]Раз.пос.(Пр.2-24) '!I137+'[19]Перевод ДН дети'!I137+'[19]Перевод 2 этапа ДВН'!I137+'[19]Перевод 2 этапа УД'!I137</f>
        <v>0</v>
      </c>
      <c r="J137" s="310">
        <v>0</v>
      </c>
      <c r="K137" s="310">
        <v>0</v>
      </c>
      <c r="L137" s="310">
        <v>0</v>
      </c>
      <c r="M137" s="337">
        <f>'[19]Раз.пос.(Пр.2-24) '!M137+'[19]Перевод ДН дети'!M137+'[19]Перевод 2 этапа ДВН'!M137+'[19]Перевод 2 этапа УД'!M137</f>
        <v>3074</v>
      </c>
      <c r="N137" s="337">
        <f>'[19]Раз.пос.(Пр.2-24) '!N137+'[19]Перевод ДН дети'!N137+'[19]Перевод 2 этапа ДВН'!N137+'[19]Перевод 2 этапа УД'!N137</f>
        <v>1318</v>
      </c>
      <c r="O137" s="305">
        <f t="shared" si="8"/>
        <v>54000</v>
      </c>
      <c r="P137" s="310">
        <v>0</v>
      </c>
      <c r="Q137" s="310">
        <f>'[19]Раз.пос.(Пр.2-24) '!Q137+'[19]Перевод ДН дети'!Q137+'[19]Перевод 2 этапа ДВН'!Q137+'[19]Перевод 2 этапа УД'!Q137</f>
        <v>0</v>
      </c>
      <c r="R137" s="310">
        <v>54000</v>
      </c>
      <c r="S137" s="310">
        <f>'[19]Раз.пос.(Пр.2-24) '!S137+'[19]Перевод ДН дети'!S137+'[19]Перевод 2 этапа ДВН'!S137+'[19]Перевод 2 этапа УД'!S137</f>
        <v>0</v>
      </c>
    </row>
    <row r="138" spans="1:19" x14ac:dyDescent="0.2">
      <c r="A138" s="309">
        <v>125</v>
      </c>
      <c r="B138" s="222" t="s">
        <v>60</v>
      </c>
      <c r="C138" s="220" t="s">
        <v>303</v>
      </c>
      <c r="D138" s="305">
        <f t="shared" si="9"/>
        <v>19319</v>
      </c>
      <c r="E138" s="310">
        <f t="shared" si="6"/>
        <v>0</v>
      </c>
      <c r="F138" s="310">
        <v>0</v>
      </c>
      <c r="G138" s="310">
        <v>0</v>
      </c>
      <c r="H138" s="310">
        <f t="shared" si="7"/>
        <v>17893</v>
      </c>
      <c r="I138" s="336">
        <f>'[19]Раз.пос.(Пр.2-24) '!I138+'[19]Перевод ДН дети'!I138+'[19]Перевод 2 этапа ДВН'!I138+'[19]Перевод 2 этапа УД'!I138</f>
        <v>0</v>
      </c>
      <c r="J138" s="310">
        <v>13688</v>
      </c>
      <c r="K138" s="310">
        <v>0</v>
      </c>
      <c r="L138" s="310">
        <v>4205</v>
      </c>
      <c r="M138" s="337">
        <f>'[19]Раз.пос.(Пр.2-24) '!M138+'[19]Перевод ДН дети'!M138+'[19]Перевод 2 этапа ДВН'!M138+'[19]Перевод 2 этапа УД'!M138</f>
        <v>0</v>
      </c>
      <c r="N138" s="337">
        <f>'[19]Раз.пос.(Пр.2-24) '!N138+'[19]Перевод ДН дети'!N138+'[19]Перевод 2 этапа ДВН'!N138+'[19]Перевод 2 этапа УД'!N138</f>
        <v>0</v>
      </c>
      <c r="O138" s="305">
        <f t="shared" si="8"/>
        <v>1426</v>
      </c>
      <c r="P138" s="310">
        <v>0</v>
      </c>
      <c r="Q138" s="310">
        <f>'[19]Раз.пос.(Пр.2-24) '!Q138+'[19]Перевод ДН дети'!Q138+'[19]Перевод 2 этапа ДВН'!Q138+'[19]Перевод 2 этапа УД'!Q138</f>
        <v>0</v>
      </c>
      <c r="R138" s="310">
        <v>1426</v>
      </c>
      <c r="S138" s="310">
        <f>'[19]Раз.пос.(Пр.2-24) '!S138+'[19]Перевод ДН дети'!S138+'[19]Перевод 2 этапа ДВН'!S138+'[19]Перевод 2 этапа УД'!S138</f>
        <v>0</v>
      </c>
    </row>
    <row r="139" spans="1:19" x14ac:dyDescent="0.2">
      <c r="A139" s="309">
        <v>126</v>
      </c>
      <c r="B139" s="224" t="s">
        <v>56</v>
      </c>
      <c r="C139" s="220" t="s">
        <v>304</v>
      </c>
      <c r="D139" s="305">
        <f t="shared" si="9"/>
        <v>62825</v>
      </c>
      <c r="E139" s="310">
        <f t="shared" si="6"/>
        <v>0</v>
      </c>
      <c r="F139" s="310">
        <v>0</v>
      </c>
      <c r="G139" s="310">
        <v>0</v>
      </c>
      <c r="H139" s="310">
        <f t="shared" si="7"/>
        <v>56590</v>
      </c>
      <c r="I139" s="336">
        <f>'[19]Раз.пос.(Пр.2-24) '!I139+'[19]Перевод ДН дети'!I139+'[19]Перевод 2 этапа ДВН'!I139+'[19]Перевод 2 этапа УД'!I139</f>
        <v>0</v>
      </c>
      <c r="J139" s="310">
        <v>20665</v>
      </c>
      <c r="K139" s="310">
        <v>3112</v>
      </c>
      <c r="L139" s="310">
        <v>32813</v>
      </c>
      <c r="M139" s="337">
        <f>'[19]Раз.пос.(Пр.2-24) '!M139+'[19]Перевод ДН дети'!M139+'[19]Перевод 2 этапа ДВН'!M139+'[19]Перевод 2 этапа УД'!M139</f>
        <v>1025</v>
      </c>
      <c r="N139" s="337">
        <f>'[19]Раз.пос.(Пр.2-24) '!N139+'[19]Перевод ДН дети'!N139+'[19]Перевод 2 этапа ДВН'!N139+'[19]Перевод 2 этапа УД'!N139</f>
        <v>439</v>
      </c>
      <c r="O139" s="305">
        <f t="shared" si="8"/>
        <v>4771</v>
      </c>
      <c r="P139" s="310">
        <v>0</v>
      </c>
      <c r="Q139" s="310">
        <f>'[19]Раз.пос.(Пр.2-24) '!Q139+'[19]Перевод ДН дети'!Q139+'[19]Перевод 2 этапа ДВН'!Q139+'[19]Перевод 2 этапа УД'!Q139</f>
        <v>0</v>
      </c>
      <c r="R139" s="310">
        <v>4771</v>
      </c>
      <c r="S139" s="310">
        <f>'[19]Раз.пос.(Пр.2-24) '!S139+'[19]Перевод ДН дети'!S139+'[19]Перевод 2 этапа ДВН'!S139+'[19]Перевод 2 этапа УД'!S139</f>
        <v>0</v>
      </c>
    </row>
    <row r="140" spans="1:19" x14ac:dyDescent="0.2">
      <c r="A140" s="309">
        <v>127</v>
      </c>
      <c r="B140" s="219" t="s">
        <v>305</v>
      </c>
      <c r="C140" s="220" t="s">
        <v>306</v>
      </c>
      <c r="D140" s="305">
        <f t="shared" si="9"/>
        <v>10638</v>
      </c>
      <c r="E140" s="310">
        <f t="shared" ref="E140:E148" si="10">F140+G140</f>
        <v>0</v>
      </c>
      <c r="F140" s="310">
        <v>0</v>
      </c>
      <c r="G140" s="310">
        <v>0</v>
      </c>
      <c r="H140" s="310">
        <f t="shared" ref="H140:H148" si="11">SUM(I140:L140)</f>
        <v>0</v>
      </c>
      <c r="I140" s="336">
        <f>'[19]Раз.пос.(Пр.2-24) '!I140+'[19]Перевод ДН дети'!I140+'[19]Перевод 2 этапа ДВН'!I140+'[19]Перевод 2 этапа УД'!I140</f>
        <v>0</v>
      </c>
      <c r="J140" s="310">
        <v>0</v>
      </c>
      <c r="K140" s="310">
        <v>0</v>
      </c>
      <c r="L140" s="310">
        <v>0</v>
      </c>
      <c r="M140" s="337">
        <f>'[19]Раз.пос.(Пр.2-24) '!M140+'[19]Перевод ДН дети'!M140+'[19]Перевод 2 этапа ДВН'!M140+'[19]Перевод 2 этапа УД'!M140</f>
        <v>0</v>
      </c>
      <c r="N140" s="337">
        <f>'[19]Раз.пос.(Пр.2-24) '!N140+'[19]Перевод ДН дети'!N140+'[19]Перевод 2 этапа ДВН'!N140+'[19]Перевод 2 этапа УД'!N140</f>
        <v>0</v>
      </c>
      <c r="O140" s="305">
        <f t="shared" ref="O140:O148" si="12">P140+Q140+R140</f>
        <v>10638</v>
      </c>
      <c r="P140" s="310">
        <v>7638</v>
      </c>
      <c r="Q140" s="310">
        <f>'[19]Раз.пос.(Пр.2-24) '!Q140+'[19]Перевод ДН дети'!Q140+'[19]Перевод 2 этапа ДВН'!Q140+'[19]Перевод 2 этапа УД'!Q140</f>
        <v>0</v>
      </c>
      <c r="R140" s="310">
        <v>3000</v>
      </c>
      <c r="S140" s="310">
        <f>'[19]Раз.пос.(Пр.2-24) '!S140+'[19]Перевод ДН дети'!S140+'[19]Перевод 2 этапа ДВН'!S140+'[19]Перевод 2 этапа УД'!S140</f>
        <v>0</v>
      </c>
    </row>
    <row r="141" spans="1:19" x14ac:dyDescent="0.2">
      <c r="A141" s="309">
        <v>128</v>
      </c>
      <c r="B141" s="222" t="s">
        <v>307</v>
      </c>
      <c r="C141" s="220" t="s">
        <v>308</v>
      </c>
      <c r="D141" s="305">
        <f t="shared" ref="D141:D148" si="13">E141+H141+M141+N141+O141</f>
        <v>16762</v>
      </c>
      <c r="E141" s="310">
        <f t="shared" si="10"/>
        <v>0</v>
      </c>
      <c r="F141" s="310">
        <v>0</v>
      </c>
      <c r="G141" s="310">
        <v>0</v>
      </c>
      <c r="H141" s="310">
        <f t="shared" si="11"/>
        <v>0</v>
      </c>
      <c r="I141" s="336">
        <f>'[19]Раз.пос.(Пр.2-24) '!I141+'[19]Перевод ДН дети'!I141+'[19]Перевод 2 этапа ДВН'!I141+'[19]Перевод 2 этапа УД'!I141</f>
        <v>0</v>
      </c>
      <c r="J141" s="310">
        <v>0</v>
      </c>
      <c r="K141" s="310">
        <v>0</v>
      </c>
      <c r="L141" s="310">
        <v>0</v>
      </c>
      <c r="M141" s="337">
        <f>'[19]Раз.пос.(Пр.2-24) '!M141+'[19]Перевод ДН дети'!M141+'[19]Перевод 2 этапа ДВН'!M141+'[19]Перевод 2 этапа УД'!M141</f>
        <v>0</v>
      </c>
      <c r="N141" s="337">
        <f>'[19]Раз.пос.(Пр.2-24) '!N141+'[19]Перевод ДН дети'!N141+'[19]Перевод 2 этапа ДВН'!N141+'[19]Перевод 2 этапа УД'!N141</f>
        <v>0</v>
      </c>
      <c r="O141" s="305">
        <f t="shared" si="12"/>
        <v>16762</v>
      </c>
      <c r="P141" s="310">
        <v>0</v>
      </c>
      <c r="Q141" s="310">
        <f>'[19]Раз.пос.(Пр.2-24) '!Q141+'[19]Перевод ДН дети'!Q141+'[19]Перевод 2 этапа ДВН'!Q141+'[19]Перевод 2 этапа УД'!Q141</f>
        <v>3229</v>
      </c>
      <c r="R141" s="310">
        <v>13533</v>
      </c>
      <c r="S141" s="310">
        <f>'[19]Раз.пос.(Пр.2-24) '!S141+'[19]Перевод ДН дети'!S141+'[19]Перевод 2 этапа ДВН'!S141+'[19]Перевод 2 этапа УД'!S141</f>
        <v>0</v>
      </c>
    </row>
    <row r="142" spans="1:19" ht="12.75" x14ac:dyDescent="0.2">
      <c r="A142" s="309">
        <v>129</v>
      </c>
      <c r="B142" s="318" t="s">
        <v>309</v>
      </c>
      <c r="C142" s="319" t="s">
        <v>310</v>
      </c>
      <c r="D142" s="305">
        <f t="shared" si="13"/>
        <v>0</v>
      </c>
      <c r="E142" s="310">
        <f t="shared" si="10"/>
        <v>0</v>
      </c>
      <c r="F142" s="310">
        <v>0</v>
      </c>
      <c r="G142" s="310">
        <v>0</v>
      </c>
      <c r="H142" s="310">
        <f t="shared" si="11"/>
        <v>0</v>
      </c>
      <c r="I142" s="336">
        <f>'[19]Раз.пос.(Пр.2-24) '!I142+'[19]Перевод ДН дети'!I142+'[19]Перевод 2 этапа ДВН'!I142+'[19]Перевод 2 этапа УД'!I142</f>
        <v>0</v>
      </c>
      <c r="J142" s="310">
        <v>0</v>
      </c>
      <c r="K142" s="310">
        <v>0</v>
      </c>
      <c r="L142" s="310">
        <v>0</v>
      </c>
      <c r="M142" s="337">
        <f>'[19]Раз.пос.(Пр.2-24) '!M142+'[19]Перевод ДН дети'!M142+'[19]Перевод 2 этапа ДВН'!M142+'[19]Перевод 2 этапа УД'!M142</f>
        <v>0</v>
      </c>
      <c r="N142" s="337">
        <f>'[19]Раз.пос.(Пр.2-24) '!N142+'[19]Перевод ДН дети'!N142+'[19]Перевод 2 этапа ДВН'!N142+'[19]Перевод 2 этапа УД'!N142</f>
        <v>0</v>
      </c>
      <c r="O142" s="305">
        <f t="shared" si="12"/>
        <v>0</v>
      </c>
      <c r="P142" s="310">
        <v>0</v>
      </c>
      <c r="Q142" s="310">
        <f>'[19]Раз.пос.(Пр.2-24) '!Q142+'[19]Перевод ДН дети'!Q142+'[19]Перевод 2 этапа ДВН'!Q142+'[19]Перевод 2 этапа УД'!Q142</f>
        <v>0</v>
      </c>
      <c r="R142" s="310">
        <v>0</v>
      </c>
      <c r="S142" s="310">
        <f>'[19]Раз.пос.(Пр.2-24) '!S142+'[19]Перевод ДН дети'!S142+'[19]Перевод 2 этапа ДВН'!S142+'[19]Перевод 2 этапа УД'!S142</f>
        <v>0</v>
      </c>
    </row>
    <row r="143" spans="1:19" ht="12.75" x14ac:dyDescent="0.2">
      <c r="A143" s="309">
        <v>130</v>
      </c>
      <c r="B143" s="320" t="s">
        <v>311</v>
      </c>
      <c r="C143" s="321" t="s">
        <v>312</v>
      </c>
      <c r="D143" s="305">
        <f t="shared" si="13"/>
        <v>0</v>
      </c>
      <c r="E143" s="310">
        <f t="shared" si="10"/>
        <v>0</v>
      </c>
      <c r="F143" s="310">
        <v>0</v>
      </c>
      <c r="G143" s="310">
        <v>0</v>
      </c>
      <c r="H143" s="310">
        <f t="shared" si="11"/>
        <v>0</v>
      </c>
      <c r="I143" s="336">
        <f>'[19]Раз.пос.(Пр.2-24) '!I143+'[19]Перевод ДН дети'!I143+'[19]Перевод 2 этапа ДВН'!I143+'[19]Перевод 2 этапа УД'!I143</f>
        <v>0</v>
      </c>
      <c r="J143" s="310">
        <v>0</v>
      </c>
      <c r="K143" s="310">
        <v>0</v>
      </c>
      <c r="L143" s="310">
        <v>0</v>
      </c>
      <c r="M143" s="337">
        <f>'[19]Раз.пос.(Пр.2-24) '!M143+'[19]Перевод ДН дети'!M143+'[19]Перевод 2 этапа ДВН'!M143+'[19]Перевод 2 этапа УД'!M143</f>
        <v>0</v>
      </c>
      <c r="N143" s="337">
        <f>'[19]Раз.пос.(Пр.2-24) '!N143+'[19]Перевод ДН дети'!N143+'[19]Перевод 2 этапа ДВН'!N143+'[19]Перевод 2 этапа УД'!N143</f>
        <v>0</v>
      </c>
      <c r="O143" s="305">
        <f t="shared" si="12"/>
        <v>0</v>
      </c>
      <c r="P143" s="310">
        <v>0</v>
      </c>
      <c r="Q143" s="310">
        <f>'[19]Раз.пос.(Пр.2-24) '!Q143+'[19]Перевод ДН дети'!Q143+'[19]Перевод 2 этапа ДВН'!Q143+'[19]Перевод 2 этапа УД'!Q143</f>
        <v>0</v>
      </c>
      <c r="R143" s="310">
        <v>0</v>
      </c>
      <c r="S143" s="310">
        <f>'[19]Раз.пос.(Пр.2-24) '!S143+'[19]Перевод ДН дети'!S143+'[19]Перевод 2 этапа ДВН'!S143+'[19]Перевод 2 этапа УД'!S143</f>
        <v>0</v>
      </c>
    </row>
    <row r="144" spans="1:19" ht="12.75" x14ac:dyDescent="0.2">
      <c r="A144" s="309">
        <v>131</v>
      </c>
      <c r="B144" s="322" t="s">
        <v>313</v>
      </c>
      <c r="C144" s="323" t="s">
        <v>314</v>
      </c>
      <c r="D144" s="305">
        <f t="shared" si="13"/>
        <v>0</v>
      </c>
      <c r="E144" s="310">
        <f t="shared" si="10"/>
        <v>0</v>
      </c>
      <c r="F144" s="310">
        <v>0</v>
      </c>
      <c r="G144" s="310">
        <v>0</v>
      </c>
      <c r="H144" s="310">
        <f t="shared" si="11"/>
        <v>0</v>
      </c>
      <c r="I144" s="336">
        <f>'[19]Раз.пос.(Пр.2-24) '!I144+'[19]Перевод ДН дети'!I144+'[19]Перевод 2 этапа ДВН'!I144+'[19]Перевод 2 этапа УД'!I144</f>
        <v>0</v>
      </c>
      <c r="J144" s="310">
        <v>0</v>
      </c>
      <c r="K144" s="310">
        <v>0</v>
      </c>
      <c r="L144" s="310">
        <v>0</v>
      </c>
      <c r="M144" s="324">
        <f>'[19]Раз.пос.(Пр.2-24) '!M144+'[19]Перевод ДН дети'!M144+'[19]Перевод 2 этапа ДВН'!M144+'[19]Перевод 2 этапа УД'!M144</f>
        <v>0</v>
      </c>
      <c r="N144" s="324">
        <f>'[19]Раз.пос.(Пр.2-24) '!N144+'[19]Перевод ДН дети'!N144+'[19]Перевод 2 этапа ДВН'!N144+'[19]Перевод 2 этапа УД'!N144</f>
        <v>0</v>
      </c>
      <c r="O144" s="305">
        <f t="shared" si="12"/>
        <v>0</v>
      </c>
      <c r="P144" s="324">
        <v>0</v>
      </c>
      <c r="Q144" s="324">
        <f>'[19]Раз.пос.(Пр.2-24) '!Q144+'[19]Перевод ДН дети'!Q144+'[19]Перевод 2 этапа ДВН'!Q144+'[19]Перевод 2 этапа УД'!Q144</f>
        <v>0</v>
      </c>
      <c r="R144" s="324">
        <v>0</v>
      </c>
      <c r="S144" s="324">
        <f>'[19]Раз.пос.(Пр.2-24) '!S144+'[19]Перевод ДН дети'!S144+'[19]Перевод 2 этапа ДВН'!S144+'[19]Перевод 2 этапа УД'!S144</f>
        <v>0</v>
      </c>
    </row>
    <row r="145" spans="1:19" ht="12.75" x14ac:dyDescent="0.2">
      <c r="A145" s="309">
        <v>132</v>
      </c>
      <c r="B145" s="325" t="s">
        <v>315</v>
      </c>
      <c r="C145" s="326" t="s">
        <v>316</v>
      </c>
      <c r="D145" s="305">
        <f t="shared" si="13"/>
        <v>0</v>
      </c>
      <c r="E145" s="310">
        <f t="shared" si="10"/>
        <v>0</v>
      </c>
      <c r="F145" s="310">
        <v>0</v>
      </c>
      <c r="G145" s="310">
        <v>0</v>
      </c>
      <c r="H145" s="310">
        <f t="shared" si="11"/>
        <v>0</v>
      </c>
      <c r="I145" s="336">
        <f>'[19]Раз.пос.(Пр.2-24) '!I145+'[19]Перевод ДН дети'!I145+'[19]Перевод 2 этапа ДВН'!I145+'[19]Перевод 2 этапа УД'!I145</f>
        <v>0</v>
      </c>
      <c r="J145" s="310">
        <v>0</v>
      </c>
      <c r="K145" s="310">
        <v>0</v>
      </c>
      <c r="L145" s="310">
        <v>0</v>
      </c>
      <c r="M145" s="338">
        <f>'[19]Раз.пос.(Пр.2-24) '!M145+'[19]Перевод ДН дети'!M145+'[19]Перевод 2 этапа ДВН'!M145+'[19]Перевод 2 этапа УД'!M145</f>
        <v>0</v>
      </c>
      <c r="N145" s="338">
        <f>'[19]Раз.пос.(Пр.2-24) '!N145+'[19]Перевод ДН дети'!N145+'[19]Перевод 2 этапа ДВН'!N145+'[19]Перевод 2 этапа УД'!N145</f>
        <v>0</v>
      </c>
      <c r="O145" s="305">
        <f t="shared" si="12"/>
        <v>0</v>
      </c>
      <c r="P145" s="324">
        <v>0</v>
      </c>
      <c r="Q145" s="324">
        <f>'[19]Раз.пос.(Пр.2-24) '!Q145+'[19]Перевод ДН дети'!Q145+'[19]Перевод 2 этапа ДВН'!Q145+'[19]Перевод 2 этапа УД'!Q145</f>
        <v>0</v>
      </c>
      <c r="R145" s="324">
        <v>0</v>
      </c>
      <c r="S145" s="324">
        <f>'[19]Раз.пос.(Пр.2-24) '!S145+'[19]Перевод ДН дети'!S145+'[19]Перевод 2 этапа ДВН'!S145+'[19]Перевод 2 этапа УД'!S145</f>
        <v>0</v>
      </c>
    </row>
    <row r="146" spans="1:19" x14ac:dyDescent="0.2">
      <c r="A146" s="309">
        <v>133</v>
      </c>
      <c r="B146" s="309" t="s">
        <v>317</v>
      </c>
      <c r="C146" s="327" t="s">
        <v>318</v>
      </c>
      <c r="D146" s="305">
        <f t="shared" si="13"/>
        <v>0</v>
      </c>
      <c r="E146" s="310">
        <f t="shared" si="10"/>
        <v>0</v>
      </c>
      <c r="F146" s="310">
        <v>0</v>
      </c>
      <c r="G146" s="310">
        <v>0</v>
      </c>
      <c r="H146" s="310">
        <f t="shared" si="11"/>
        <v>0</v>
      </c>
      <c r="I146" s="336">
        <f>'[19]Раз.пос.(Пр.2-24) '!I146+'[19]Перевод ДН дети'!I146+'[19]Перевод 2 этапа ДВН'!I146+'[19]Перевод 2 этапа УД'!I146</f>
        <v>0</v>
      </c>
      <c r="J146" s="310">
        <v>0</v>
      </c>
      <c r="K146" s="310">
        <v>0</v>
      </c>
      <c r="L146" s="310">
        <v>0</v>
      </c>
      <c r="M146" s="324">
        <f>'[19]Раз.пос.(Пр.2-24) '!M146+'[19]Перевод ДН дети'!M146+'[19]Перевод 2 этапа ДВН'!M146+'[19]Перевод 2 этапа УД'!M146</f>
        <v>0</v>
      </c>
      <c r="N146" s="324">
        <f>'[19]Раз.пос.(Пр.2-24) '!N146+'[19]Перевод ДН дети'!N146+'[19]Перевод 2 этапа ДВН'!N146+'[19]Перевод 2 этапа УД'!N146</f>
        <v>0</v>
      </c>
      <c r="O146" s="305">
        <f t="shared" si="12"/>
        <v>0</v>
      </c>
      <c r="P146" s="324">
        <v>0</v>
      </c>
      <c r="Q146" s="324">
        <f>'[19]Раз.пос.(Пр.2-24) '!Q146+'[19]Перевод ДН дети'!Q146+'[19]Перевод 2 этапа ДВН'!Q146+'[19]Перевод 2 этапа УД'!Q146</f>
        <v>0</v>
      </c>
      <c r="R146" s="324">
        <v>0</v>
      </c>
      <c r="S146" s="324">
        <f>'[19]Раз.пос.(Пр.2-24) '!S146+'[19]Перевод ДН дети'!S146+'[19]Перевод 2 этапа ДВН'!S146+'[19]Перевод 2 этапа УД'!S146</f>
        <v>0</v>
      </c>
    </row>
    <row r="147" spans="1:19" x14ac:dyDescent="0.2">
      <c r="A147" s="309">
        <v>134</v>
      </c>
      <c r="B147" s="328" t="s">
        <v>319</v>
      </c>
      <c r="C147" s="327" t="s">
        <v>320</v>
      </c>
      <c r="D147" s="305">
        <f t="shared" si="13"/>
        <v>0</v>
      </c>
      <c r="E147" s="310">
        <f t="shared" si="10"/>
        <v>0</v>
      </c>
      <c r="F147" s="310">
        <v>0</v>
      </c>
      <c r="G147" s="310">
        <v>0</v>
      </c>
      <c r="H147" s="310">
        <f t="shared" si="11"/>
        <v>0</v>
      </c>
      <c r="I147" s="336">
        <f>'[19]Раз.пос.(Пр.2-24) '!I147+'[19]Перевод ДН дети'!I147+'[19]Перевод 2 этапа ДВН'!I147+'[19]Перевод 2 этапа УД'!I147</f>
        <v>0</v>
      </c>
      <c r="J147" s="310">
        <v>0</v>
      </c>
      <c r="K147" s="310">
        <v>0</v>
      </c>
      <c r="L147" s="310">
        <v>0</v>
      </c>
      <c r="M147" s="324">
        <f>'[19]Раз.пос.(Пр.2-24) '!M147+'[19]Перевод ДН дети'!M147+'[19]Перевод 2 этапа ДВН'!M147+'[19]Перевод 2 этапа УД'!M147</f>
        <v>0</v>
      </c>
      <c r="N147" s="324">
        <f>'[19]Раз.пос.(Пр.2-24) '!N147+'[19]Перевод ДН дети'!N147+'[19]Перевод 2 этапа ДВН'!N147+'[19]Перевод 2 этапа УД'!N147</f>
        <v>0</v>
      </c>
      <c r="O147" s="305">
        <f t="shared" si="12"/>
        <v>0</v>
      </c>
      <c r="P147" s="324">
        <v>0</v>
      </c>
      <c r="Q147" s="324">
        <f>'[19]Раз.пос.(Пр.2-24) '!Q147+'[19]Перевод ДН дети'!Q147+'[19]Перевод 2 этапа ДВН'!Q147+'[19]Перевод 2 этапа УД'!Q147</f>
        <v>0</v>
      </c>
      <c r="R147" s="324">
        <v>0</v>
      </c>
      <c r="S147" s="324">
        <f>'[19]Раз.пос.(Пр.2-24) '!S147+'[19]Перевод ДН дети'!S147+'[19]Перевод 2 этапа ДВН'!S147+'[19]Перевод 2 этапа УД'!S147</f>
        <v>0</v>
      </c>
    </row>
    <row r="148" spans="1:19" x14ac:dyDescent="0.2">
      <c r="A148" s="309">
        <v>135</v>
      </c>
      <c r="B148" s="794" t="s">
        <v>728</v>
      </c>
      <c r="C148" s="795" t="s">
        <v>729</v>
      </c>
      <c r="D148" s="305">
        <f t="shared" si="13"/>
        <v>0</v>
      </c>
      <c r="E148" s="310">
        <f t="shared" si="10"/>
        <v>0</v>
      </c>
      <c r="F148" s="310">
        <v>0</v>
      </c>
      <c r="G148" s="310">
        <v>0</v>
      </c>
      <c r="H148" s="310">
        <f t="shared" si="11"/>
        <v>0</v>
      </c>
      <c r="I148" s="336">
        <f>'[19]Раз.пос.(Пр.2-24) '!I148+'[19]Перевод ДН дети'!I148+'[19]Перевод 2 этапа ДВН'!I148+'[19]Перевод 2 этапа УД'!I148</f>
        <v>0</v>
      </c>
      <c r="J148" s="310">
        <v>0</v>
      </c>
      <c r="K148" s="310">
        <v>0</v>
      </c>
      <c r="L148" s="310">
        <v>0</v>
      </c>
      <c r="M148" s="324">
        <f>'[19]Раз.пос.(Пр.2-24) '!M148+'[19]Перевод ДН дети'!M148+'[19]Перевод 2 этапа ДВН'!M148+'[19]Перевод 2 этапа УД'!M148</f>
        <v>0</v>
      </c>
      <c r="N148" s="324">
        <f>'[19]Раз.пос.(Пр.2-24) '!N148+'[19]Перевод ДН дети'!N148+'[19]Перевод 2 этапа ДВН'!N148+'[19]Перевод 2 этапа УД'!N148</f>
        <v>0</v>
      </c>
      <c r="O148" s="305">
        <f t="shared" si="12"/>
        <v>0</v>
      </c>
      <c r="P148" s="324">
        <v>0</v>
      </c>
      <c r="Q148" s="324">
        <f>'[19]Раз.пос.(Пр.2-24) '!Q148+'[19]Перевод ДН дети'!Q148+'[19]Перевод 2 этапа ДВН'!Q148+'[19]Перевод 2 этапа УД'!Q148</f>
        <v>0</v>
      </c>
      <c r="R148" s="324">
        <v>0</v>
      </c>
      <c r="S148" s="324">
        <f>'[19]Раз.пос.(Пр.2-24) '!S148+'[19]Перевод ДН дети'!S148+'[19]Перевод 2 этапа ДВН'!S148+'[19]Перевод 2 этапа УД'!S148</f>
        <v>0</v>
      </c>
    </row>
    <row r="150" spans="1:19" x14ac:dyDescent="0.2">
      <c r="D150" s="339"/>
      <c r="E150" s="339"/>
      <c r="F150" s="339"/>
      <c r="G150" s="339"/>
      <c r="H150" s="339"/>
      <c r="I150" s="339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</row>
    <row r="156" spans="1:19" x14ac:dyDescent="0.2">
      <c r="J156" s="851"/>
    </row>
  </sheetData>
  <mergeCells count="28">
    <mergeCell ref="Q5:Q6"/>
    <mergeCell ref="R5:R6"/>
    <mergeCell ref="S5:S6"/>
    <mergeCell ref="A8:C8"/>
    <mergeCell ref="A9:C9"/>
    <mergeCell ref="M5:M6"/>
    <mergeCell ref="N5:N6"/>
    <mergeCell ref="O5:O6"/>
    <mergeCell ref="P5:P6"/>
    <mergeCell ref="H5:H6"/>
    <mergeCell ref="I5:J5"/>
    <mergeCell ref="K5:L5"/>
    <mergeCell ref="A89:A92"/>
    <mergeCell ref="B89:B92"/>
    <mergeCell ref="A10:C10"/>
    <mergeCell ref="B1:S1"/>
    <mergeCell ref="A2:A6"/>
    <mergeCell ref="B2:B6"/>
    <mergeCell ref="C2:C6"/>
    <mergeCell ref="D2:S2"/>
    <mergeCell ref="D3:D6"/>
    <mergeCell ref="E3:S3"/>
    <mergeCell ref="E4:G4"/>
    <mergeCell ref="H4:L4"/>
    <mergeCell ref="M4:N4"/>
    <mergeCell ref="O4:S4"/>
    <mergeCell ref="E5:E6"/>
    <mergeCell ref="F5:G5"/>
  </mergeCells>
  <pageMargins left="0.59055118110236227" right="0.39370078740157483" top="0.39370078740157483" bottom="0.39370078740157483" header="0.31496062992125984" footer="0.31496062992125984"/>
  <pageSetup paperSize="9" scale="59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49"/>
  <sheetViews>
    <sheetView workbookViewId="0">
      <pane xSplit="3" ySplit="9" topLeftCell="D145" activePane="bottomRight" state="frozen"/>
      <selection pane="topRight" activeCell="E1" sqref="E1"/>
      <selection pane="bottomLeft" activeCell="A10" sqref="A10"/>
      <selection pane="bottomRight" activeCell="H150" sqref="H150"/>
    </sheetView>
  </sheetViews>
  <sheetFormatPr defaultRowHeight="15" x14ac:dyDescent="0.25"/>
  <cols>
    <col min="1" max="2" width="9.140625" style="329"/>
    <col min="3" max="3" width="45.5703125" style="329" customWidth="1"/>
    <col min="4" max="7" width="18.85546875" style="329" customWidth="1"/>
    <col min="8" max="16384" width="9.140625" style="329"/>
  </cols>
  <sheetData>
    <row r="1" spans="1:10" ht="43.5" customHeight="1" x14ac:dyDescent="0.25">
      <c r="A1" s="1095" t="s">
        <v>440</v>
      </c>
      <c r="B1" s="1095"/>
      <c r="C1" s="1095"/>
      <c r="D1" s="1095"/>
      <c r="E1" s="1095"/>
      <c r="F1" s="1095"/>
      <c r="G1" s="1095"/>
    </row>
    <row r="2" spans="1:10" ht="27" customHeight="1" x14ac:dyDescent="0.25">
      <c r="A2" s="1096" t="s">
        <v>0</v>
      </c>
      <c r="B2" s="1097" t="s">
        <v>356</v>
      </c>
      <c r="C2" s="1096" t="s">
        <v>2</v>
      </c>
      <c r="D2" s="1099" t="s">
        <v>441</v>
      </c>
      <c r="E2" s="1100"/>
      <c r="F2" s="1100"/>
      <c r="G2" s="1101"/>
    </row>
    <row r="3" spans="1:10" ht="16.5" customHeight="1" x14ac:dyDescent="0.25">
      <c r="A3" s="1096"/>
      <c r="B3" s="1098"/>
      <c r="C3" s="1096"/>
      <c r="D3" s="1102" t="s">
        <v>437</v>
      </c>
      <c r="E3" s="1103"/>
      <c r="F3" s="1103"/>
      <c r="G3" s="1104"/>
    </row>
    <row r="4" spans="1:10" ht="30" customHeight="1" x14ac:dyDescent="0.25">
      <c r="A4" s="1096"/>
      <c r="B4" s="1098"/>
      <c r="C4" s="1096"/>
      <c r="D4" s="1105" t="s">
        <v>101</v>
      </c>
      <c r="E4" s="1105" t="s">
        <v>439</v>
      </c>
      <c r="F4" s="1107" t="s">
        <v>103</v>
      </c>
      <c r="G4" s="1107"/>
    </row>
    <row r="5" spans="1:10" ht="27.75" customHeight="1" x14ac:dyDescent="0.25">
      <c r="A5" s="1096"/>
      <c r="B5" s="1098"/>
      <c r="C5" s="1096"/>
      <c r="D5" s="1106"/>
      <c r="E5" s="1106"/>
      <c r="F5" s="330" t="s">
        <v>354</v>
      </c>
      <c r="G5" s="331" t="s">
        <v>353</v>
      </c>
    </row>
    <row r="6" spans="1:10" ht="10.5" customHeight="1" x14ac:dyDescent="0.25">
      <c r="A6" s="332">
        <v>1</v>
      </c>
      <c r="B6" s="332">
        <v>2</v>
      </c>
      <c r="C6" s="332">
        <v>3</v>
      </c>
      <c r="D6" s="333">
        <v>4</v>
      </c>
      <c r="E6" s="333">
        <v>5</v>
      </c>
      <c r="F6" s="333">
        <v>6</v>
      </c>
      <c r="G6" s="333">
        <v>7</v>
      </c>
    </row>
    <row r="7" spans="1:10" x14ac:dyDescent="0.25">
      <c r="A7" s="1108" t="s">
        <v>331</v>
      </c>
      <c r="B7" s="1108"/>
      <c r="C7" s="1108"/>
      <c r="D7" s="334">
        <f>D8+D9</f>
        <v>684016</v>
      </c>
      <c r="E7" s="334">
        <f>E8+E9</f>
        <v>20024</v>
      </c>
      <c r="F7" s="334">
        <f>F8+F9</f>
        <v>106427</v>
      </c>
      <c r="G7" s="334">
        <f t="shared" ref="G7" si="0">G8+G9</f>
        <v>557565</v>
      </c>
      <c r="I7" s="335"/>
    </row>
    <row r="8" spans="1:10" x14ac:dyDescent="0.25">
      <c r="A8" s="1109" t="s">
        <v>105</v>
      </c>
      <c r="B8" s="1110"/>
      <c r="C8" s="1111"/>
      <c r="D8" s="333">
        <f>E8+F8+G8</f>
        <v>0</v>
      </c>
      <c r="E8" s="333">
        <v>0</v>
      </c>
      <c r="F8" s="333">
        <v>0</v>
      </c>
      <c r="G8" s="333">
        <v>0</v>
      </c>
    </row>
    <row r="9" spans="1:10" x14ac:dyDescent="0.25">
      <c r="A9" s="1109" t="s">
        <v>108</v>
      </c>
      <c r="B9" s="1110"/>
      <c r="C9" s="1111"/>
      <c r="D9" s="334">
        <f>SUM(D10:D140)-D88</f>
        <v>684016</v>
      </c>
      <c r="E9" s="334">
        <f>SUM(E10:E140)-E88</f>
        <v>20024</v>
      </c>
      <c r="F9" s="334">
        <f>SUM(F10:F140)-F88</f>
        <v>106427</v>
      </c>
      <c r="G9" s="334">
        <f>SUM(G10:G140)-G88</f>
        <v>557565</v>
      </c>
      <c r="J9" s="903"/>
    </row>
    <row r="10" spans="1:10" x14ac:dyDescent="0.25">
      <c r="A10" s="309">
        <v>1</v>
      </c>
      <c r="B10" s="222" t="s">
        <v>109</v>
      </c>
      <c r="C10" s="220" t="s">
        <v>110</v>
      </c>
      <c r="D10" s="333">
        <f>E10+F10+G10</f>
        <v>320</v>
      </c>
      <c r="E10" s="333">
        <v>0</v>
      </c>
      <c r="F10" s="333">
        <v>0</v>
      </c>
      <c r="G10" s="333">
        <v>320</v>
      </c>
      <c r="J10" s="904"/>
    </row>
    <row r="11" spans="1:10" x14ac:dyDescent="0.25">
      <c r="A11" s="309">
        <v>2</v>
      </c>
      <c r="B11" s="224" t="s">
        <v>111</v>
      </c>
      <c r="C11" s="220" t="s">
        <v>112</v>
      </c>
      <c r="D11" s="333">
        <f t="shared" ref="D11:D74" si="1">E11+F11+G11</f>
        <v>5500</v>
      </c>
      <c r="E11" s="333">
        <v>0</v>
      </c>
      <c r="F11" s="333">
        <v>0</v>
      </c>
      <c r="G11" s="333">
        <v>5500</v>
      </c>
      <c r="J11" s="904"/>
    </row>
    <row r="12" spans="1:10" x14ac:dyDescent="0.25">
      <c r="A12" s="309">
        <v>3</v>
      </c>
      <c r="B12" s="219" t="s">
        <v>80</v>
      </c>
      <c r="C12" s="220" t="s">
        <v>81</v>
      </c>
      <c r="D12" s="333">
        <f t="shared" si="1"/>
        <v>25930</v>
      </c>
      <c r="E12" s="333">
        <v>30</v>
      </c>
      <c r="F12" s="333">
        <v>0</v>
      </c>
      <c r="G12" s="333">
        <v>25900</v>
      </c>
      <c r="J12" s="904"/>
    </row>
    <row r="13" spans="1:10" x14ac:dyDescent="0.25">
      <c r="A13" s="309">
        <v>4</v>
      </c>
      <c r="B13" s="222" t="s">
        <v>113</v>
      </c>
      <c r="C13" s="220" t="s">
        <v>114</v>
      </c>
      <c r="D13" s="333">
        <f t="shared" si="1"/>
        <v>6000</v>
      </c>
      <c r="E13" s="333">
        <v>0</v>
      </c>
      <c r="F13" s="333">
        <v>0</v>
      </c>
      <c r="G13" s="333">
        <v>6000</v>
      </c>
      <c r="J13" s="904"/>
    </row>
    <row r="14" spans="1:10" x14ac:dyDescent="0.25">
      <c r="A14" s="309">
        <v>5</v>
      </c>
      <c r="B14" s="222" t="s">
        <v>115</v>
      </c>
      <c r="C14" s="220" t="s">
        <v>116</v>
      </c>
      <c r="D14" s="333">
        <f t="shared" si="1"/>
        <v>10000</v>
      </c>
      <c r="E14" s="333">
        <v>0</v>
      </c>
      <c r="F14" s="333">
        <v>1500</v>
      </c>
      <c r="G14" s="333">
        <v>8500</v>
      </c>
      <c r="J14" s="904"/>
    </row>
    <row r="15" spans="1:10" x14ac:dyDescent="0.25">
      <c r="A15" s="309">
        <v>6</v>
      </c>
      <c r="B15" s="219" t="s">
        <v>117</v>
      </c>
      <c r="C15" s="220" t="s">
        <v>118</v>
      </c>
      <c r="D15" s="333">
        <f t="shared" si="1"/>
        <v>4500</v>
      </c>
      <c r="E15" s="333">
        <v>0</v>
      </c>
      <c r="F15" s="333">
        <v>2583</v>
      </c>
      <c r="G15" s="333">
        <v>1917</v>
      </c>
      <c r="J15" s="904"/>
    </row>
    <row r="16" spans="1:10" x14ac:dyDescent="0.25">
      <c r="A16" s="309">
        <v>7</v>
      </c>
      <c r="B16" s="222" t="s">
        <v>20</v>
      </c>
      <c r="C16" s="220" t="s">
        <v>21</v>
      </c>
      <c r="D16" s="333">
        <f t="shared" si="1"/>
        <v>15600</v>
      </c>
      <c r="E16" s="333">
        <v>0</v>
      </c>
      <c r="F16" s="333">
        <v>1300</v>
      </c>
      <c r="G16" s="333">
        <v>14300</v>
      </c>
      <c r="J16" s="904"/>
    </row>
    <row r="17" spans="1:10" x14ac:dyDescent="0.25">
      <c r="A17" s="309">
        <v>8</v>
      </c>
      <c r="B17" s="219" t="s">
        <v>119</v>
      </c>
      <c r="C17" s="220" t="s">
        <v>120</v>
      </c>
      <c r="D17" s="333">
        <f t="shared" si="1"/>
        <v>6522</v>
      </c>
      <c r="E17" s="333">
        <v>0</v>
      </c>
      <c r="F17" s="333">
        <v>0</v>
      </c>
      <c r="G17" s="333">
        <v>6522</v>
      </c>
      <c r="J17" s="904"/>
    </row>
    <row r="18" spans="1:10" x14ac:dyDescent="0.25">
      <c r="A18" s="309">
        <v>9</v>
      </c>
      <c r="B18" s="219" t="s">
        <v>121</v>
      </c>
      <c r="C18" s="220" t="s">
        <v>122</v>
      </c>
      <c r="D18" s="333">
        <f t="shared" si="1"/>
        <v>1000</v>
      </c>
      <c r="E18" s="333">
        <v>0</v>
      </c>
      <c r="F18" s="333">
        <v>0</v>
      </c>
      <c r="G18" s="333">
        <v>1000</v>
      </c>
      <c r="J18" s="904"/>
    </row>
    <row r="19" spans="1:10" x14ac:dyDescent="0.25">
      <c r="A19" s="309">
        <v>10</v>
      </c>
      <c r="B19" s="219" t="s">
        <v>123</v>
      </c>
      <c r="C19" s="220" t="s">
        <v>124</v>
      </c>
      <c r="D19" s="333">
        <f t="shared" si="1"/>
        <v>14745</v>
      </c>
      <c r="E19" s="333">
        <v>1500</v>
      </c>
      <c r="F19" s="333">
        <v>0</v>
      </c>
      <c r="G19" s="333">
        <v>13245</v>
      </c>
      <c r="J19" s="904"/>
    </row>
    <row r="20" spans="1:10" x14ac:dyDescent="0.25">
      <c r="A20" s="309">
        <v>11</v>
      </c>
      <c r="B20" s="219" t="s">
        <v>125</v>
      </c>
      <c r="C20" s="220" t="s">
        <v>126</v>
      </c>
      <c r="D20" s="333">
        <f t="shared" si="1"/>
        <v>9105</v>
      </c>
      <c r="E20" s="333">
        <v>0</v>
      </c>
      <c r="F20" s="333">
        <v>2520</v>
      </c>
      <c r="G20" s="333">
        <v>6585</v>
      </c>
      <c r="J20" s="904"/>
    </row>
    <row r="21" spans="1:10" x14ac:dyDescent="0.25">
      <c r="A21" s="309">
        <v>12</v>
      </c>
      <c r="B21" s="219" t="s">
        <v>127</v>
      </c>
      <c r="C21" s="220" t="s">
        <v>128</v>
      </c>
      <c r="D21" s="333">
        <f t="shared" si="1"/>
        <v>2500</v>
      </c>
      <c r="E21" s="333">
        <v>0</v>
      </c>
      <c r="F21" s="333">
        <v>0</v>
      </c>
      <c r="G21" s="333">
        <v>2500</v>
      </c>
      <c r="J21" s="904"/>
    </row>
    <row r="22" spans="1:10" x14ac:dyDescent="0.25">
      <c r="A22" s="309">
        <v>13</v>
      </c>
      <c r="B22" s="219" t="s">
        <v>129</v>
      </c>
      <c r="C22" s="220" t="s">
        <v>130</v>
      </c>
      <c r="D22" s="333">
        <f t="shared" si="1"/>
        <v>0</v>
      </c>
      <c r="E22" s="333">
        <v>0</v>
      </c>
      <c r="F22" s="333">
        <v>0</v>
      </c>
      <c r="G22" s="333">
        <v>0</v>
      </c>
      <c r="J22" s="904"/>
    </row>
    <row r="23" spans="1:10" x14ac:dyDescent="0.25">
      <c r="A23" s="309">
        <v>14</v>
      </c>
      <c r="B23" s="219" t="s">
        <v>131</v>
      </c>
      <c r="C23" s="220" t="s">
        <v>132</v>
      </c>
      <c r="D23" s="333">
        <f t="shared" si="1"/>
        <v>7746</v>
      </c>
      <c r="E23" s="333">
        <v>4</v>
      </c>
      <c r="F23" s="333">
        <v>474</v>
      </c>
      <c r="G23" s="333">
        <v>7268</v>
      </c>
      <c r="J23" s="904"/>
    </row>
    <row r="24" spans="1:10" x14ac:dyDescent="0.25">
      <c r="A24" s="309">
        <v>15</v>
      </c>
      <c r="B24" s="219" t="s">
        <v>133</v>
      </c>
      <c r="C24" s="220" t="s">
        <v>134</v>
      </c>
      <c r="D24" s="333">
        <f t="shared" si="1"/>
        <v>500</v>
      </c>
      <c r="E24" s="333">
        <v>0</v>
      </c>
      <c r="F24" s="333">
        <v>0</v>
      </c>
      <c r="G24" s="333">
        <v>500</v>
      </c>
      <c r="J24" s="904"/>
    </row>
    <row r="25" spans="1:10" x14ac:dyDescent="0.25">
      <c r="A25" s="309">
        <v>16</v>
      </c>
      <c r="B25" s="219" t="s">
        <v>135</v>
      </c>
      <c r="C25" s="220" t="s">
        <v>136</v>
      </c>
      <c r="D25" s="333">
        <f t="shared" si="1"/>
        <v>9000</v>
      </c>
      <c r="E25" s="333">
        <v>100</v>
      </c>
      <c r="F25" s="333">
        <v>4115</v>
      </c>
      <c r="G25" s="333">
        <v>4785</v>
      </c>
      <c r="J25" s="904"/>
    </row>
    <row r="26" spans="1:10" x14ac:dyDescent="0.25">
      <c r="A26" s="309">
        <v>17</v>
      </c>
      <c r="B26" s="219" t="s">
        <v>30</v>
      </c>
      <c r="C26" s="220" t="s">
        <v>31</v>
      </c>
      <c r="D26" s="333">
        <f t="shared" si="1"/>
        <v>51600</v>
      </c>
      <c r="E26" s="333">
        <v>100</v>
      </c>
      <c r="F26" s="333">
        <v>900</v>
      </c>
      <c r="G26" s="333">
        <v>50600</v>
      </c>
      <c r="J26" s="904"/>
    </row>
    <row r="27" spans="1:10" x14ac:dyDescent="0.25">
      <c r="A27" s="309">
        <v>18</v>
      </c>
      <c r="B27" s="222" t="s">
        <v>137</v>
      </c>
      <c r="C27" s="220" t="s">
        <v>138</v>
      </c>
      <c r="D27" s="333">
        <f t="shared" si="1"/>
        <v>2240</v>
      </c>
      <c r="E27" s="333">
        <v>0</v>
      </c>
      <c r="F27" s="333">
        <v>83</v>
      </c>
      <c r="G27" s="333">
        <v>2157</v>
      </c>
      <c r="J27" s="904"/>
    </row>
    <row r="28" spans="1:10" x14ac:dyDescent="0.25">
      <c r="A28" s="309">
        <v>19</v>
      </c>
      <c r="B28" s="222" t="s">
        <v>139</v>
      </c>
      <c r="C28" s="220" t="s">
        <v>140</v>
      </c>
      <c r="D28" s="333">
        <f t="shared" si="1"/>
        <v>0</v>
      </c>
      <c r="E28" s="333">
        <v>0</v>
      </c>
      <c r="F28" s="333">
        <v>0</v>
      </c>
      <c r="G28" s="333">
        <v>0</v>
      </c>
      <c r="J28" s="904"/>
    </row>
    <row r="29" spans="1:10" x14ac:dyDescent="0.25">
      <c r="A29" s="309">
        <v>20</v>
      </c>
      <c r="B29" s="222" t="s">
        <v>84</v>
      </c>
      <c r="C29" s="220" t="s">
        <v>85</v>
      </c>
      <c r="D29" s="333">
        <f t="shared" si="1"/>
        <v>11235</v>
      </c>
      <c r="E29" s="333">
        <v>0</v>
      </c>
      <c r="F29" s="333">
        <v>1186</v>
      </c>
      <c r="G29" s="333">
        <v>10049</v>
      </c>
      <c r="J29" s="904"/>
    </row>
    <row r="30" spans="1:10" x14ac:dyDescent="0.25">
      <c r="A30" s="309">
        <v>21</v>
      </c>
      <c r="B30" s="222" t="s">
        <v>141</v>
      </c>
      <c r="C30" s="220" t="s">
        <v>142</v>
      </c>
      <c r="D30" s="333">
        <f t="shared" si="1"/>
        <v>2000</v>
      </c>
      <c r="E30" s="333">
        <v>0</v>
      </c>
      <c r="F30" s="333">
        <v>2000</v>
      </c>
      <c r="G30" s="333">
        <v>0</v>
      </c>
      <c r="J30" s="904"/>
    </row>
    <row r="31" spans="1:10" x14ac:dyDescent="0.25">
      <c r="A31" s="309">
        <v>22</v>
      </c>
      <c r="B31" s="219" t="s">
        <v>143</v>
      </c>
      <c r="C31" s="220" t="s">
        <v>144</v>
      </c>
      <c r="D31" s="333">
        <f t="shared" si="1"/>
        <v>2200</v>
      </c>
      <c r="E31" s="333">
        <v>0</v>
      </c>
      <c r="F31" s="333">
        <v>1204</v>
      </c>
      <c r="G31" s="333">
        <v>996</v>
      </c>
      <c r="J31" s="904"/>
    </row>
    <row r="32" spans="1:10" x14ac:dyDescent="0.25">
      <c r="A32" s="309">
        <v>23</v>
      </c>
      <c r="B32" s="219" t="s">
        <v>145</v>
      </c>
      <c r="C32" s="220" t="s">
        <v>146</v>
      </c>
      <c r="D32" s="333">
        <f t="shared" si="1"/>
        <v>0</v>
      </c>
      <c r="E32" s="333">
        <v>0</v>
      </c>
      <c r="F32" s="333">
        <v>0</v>
      </c>
      <c r="G32" s="333">
        <v>0</v>
      </c>
      <c r="J32" s="904"/>
    </row>
    <row r="33" spans="1:10" x14ac:dyDescent="0.25">
      <c r="A33" s="309">
        <v>24</v>
      </c>
      <c r="B33" s="219" t="s">
        <v>147</v>
      </c>
      <c r="C33" s="220" t="s">
        <v>148</v>
      </c>
      <c r="D33" s="333">
        <f t="shared" si="1"/>
        <v>0</v>
      </c>
      <c r="E33" s="333">
        <v>0</v>
      </c>
      <c r="F33" s="333">
        <v>0</v>
      </c>
      <c r="G33" s="333">
        <v>0</v>
      </c>
      <c r="J33" s="904"/>
    </row>
    <row r="34" spans="1:10" x14ac:dyDescent="0.25">
      <c r="A34" s="309">
        <v>25</v>
      </c>
      <c r="B34" s="222" t="s">
        <v>149</v>
      </c>
      <c r="C34" s="220" t="s">
        <v>150</v>
      </c>
      <c r="D34" s="333">
        <f t="shared" si="1"/>
        <v>48600</v>
      </c>
      <c r="E34" s="333">
        <v>3960</v>
      </c>
      <c r="F34" s="333">
        <v>4690</v>
      </c>
      <c r="G34" s="333">
        <v>39950</v>
      </c>
      <c r="J34" s="904"/>
    </row>
    <row r="35" spans="1:10" x14ac:dyDescent="0.25">
      <c r="A35" s="309">
        <v>26</v>
      </c>
      <c r="B35" s="219" t="s">
        <v>151</v>
      </c>
      <c r="C35" s="220" t="s">
        <v>152</v>
      </c>
      <c r="D35" s="333">
        <f t="shared" si="1"/>
        <v>48000</v>
      </c>
      <c r="E35" s="333">
        <v>0</v>
      </c>
      <c r="F35" s="333">
        <v>0</v>
      </c>
      <c r="G35" s="333">
        <v>48000</v>
      </c>
      <c r="J35" s="904"/>
    </row>
    <row r="36" spans="1:10" x14ac:dyDescent="0.25">
      <c r="A36" s="309">
        <v>27</v>
      </c>
      <c r="B36" s="224" t="s">
        <v>153</v>
      </c>
      <c r="C36" s="220" t="s">
        <v>154</v>
      </c>
      <c r="D36" s="333">
        <f t="shared" si="1"/>
        <v>3050</v>
      </c>
      <c r="E36" s="333">
        <v>0</v>
      </c>
      <c r="F36" s="333">
        <v>3050</v>
      </c>
      <c r="G36" s="333">
        <v>0</v>
      </c>
      <c r="J36" s="904"/>
    </row>
    <row r="37" spans="1:10" x14ac:dyDescent="0.25">
      <c r="A37" s="309">
        <v>28</v>
      </c>
      <c r="B37" s="222" t="s">
        <v>155</v>
      </c>
      <c r="C37" s="311" t="s">
        <v>156</v>
      </c>
      <c r="D37" s="333">
        <f t="shared" si="1"/>
        <v>0</v>
      </c>
      <c r="E37" s="333">
        <v>0</v>
      </c>
      <c r="F37" s="333">
        <v>0</v>
      </c>
      <c r="G37" s="333">
        <v>0</v>
      </c>
      <c r="J37" s="904"/>
    </row>
    <row r="38" spans="1:10" x14ac:dyDescent="0.25">
      <c r="A38" s="309">
        <v>29</v>
      </c>
      <c r="B38" s="224" t="s">
        <v>157</v>
      </c>
      <c r="C38" s="220" t="s">
        <v>158</v>
      </c>
      <c r="D38" s="333">
        <f t="shared" si="1"/>
        <v>15000</v>
      </c>
      <c r="E38" s="333">
        <v>0</v>
      </c>
      <c r="F38" s="333">
        <v>2720</v>
      </c>
      <c r="G38" s="333">
        <v>12280</v>
      </c>
      <c r="J38" s="904"/>
    </row>
    <row r="39" spans="1:10" x14ac:dyDescent="0.25">
      <c r="A39" s="309">
        <v>30</v>
      </c>
      <c r="B39" s="222" t="s">
        <v>46</v>
      </c>
      <c r="C39" s="220" t="s">
        <v>47</v>
      </c>
      <c r="D39" s="333">
        <f t="shared" si="1"/>
        <v>43000</v>
      </c>
      <c r="E39" s="333">
        <v>10000</v>
      </c>
      <c r="F39" s="333">
        <v>5100</v>
      </c>
      <c r="G39" s="333">
        <v>27900</v>
      </c>
      <c r="J39" s="904"/>
    </row>
    <row r="40" spans="1:10" x14ac:dyDescent="0.25">
      <c r="A40" s="309">
        <v>31</v>
      </c>
      <c r="B40" s="224" t="s">
        <v>159</v>
      </c>
      <c r="C40" s="220" t="s">
        <v>160</v>
      </c>
      <c r="D40" s="333">
        <f t="shared" si="1"/>
        <v>2656</v>
      </c>
      <c r="E40" s="333">
        <v>0</v>
      </c>
      <c r="F40" s="333">
        <v>0</v>
      </c>
      <c r="G40" s="333">
        <v>2656</v>
      </c>
      <c r="J40" s="904"/>
    </row>
    <row r="41" spans="1:10" x14ac:dyDescent="0.25">
      <c r="A41" s="309">
        <v>32</v>
      </c>
      <c r="B41" s="219" t="s">
        <v>58</v>
      </c>
      <c r="C41" s="220" t="s">
        <v>59</v>
      </c>
      <c r="D41" s="333">
        <f t="shared" si="1"/>
        <v>43057</v>
      </c>
      <c r="E41" s="333">
        <v>0</v>
      </c>
      <c r="F41" s="333">
        <v>4100</v>
      </c>
      <c r="G41" s="333">
        <v>38957</v>
      </c>
      <c r="J41" s="904"/>
    </row>
    <row r="42" spans="1:10" x14ac:dyDescent="0.25">
      <c r="A42" s="309">
        <v>33</v>
      </c>
      <c r="B42" s="224" t="s">
        <v>161</v>
      </c>
      <c r="C42" s="220" t="s">
        <v>162</v>
      </c>
      <c r="D42" s="333">
        <f t="shared" si="1"/>
        <v>7790</v>
      </c>
      <c r="E42" s="333">
        <v>0</v>
      </c>
      <c r="F42" s="333">
        <v>825</v>
      </c>
      <c r="G42" s="333">
        <v>6965</v>
      </c>
      <c r="J42" s="904"/>
    </row>
    <row r="43" spans="1:10" x14ac:dyDescent="0.25">
      <c r="A43" s="309">
        <v>34</v>
      </c>
      <c r="B43" s="222" t="s">
        <v>82</v>
      </c>
      <c r="C43" s="220" t="s">
        <v>83</v>
      </c>
      <c r="D43" s="333">
        <f t="shared" si="1"/>
        <v>9670</v>
      </c>
      <c r="E43" s="333">
        <v>0</v>
      </c>
      <c r="F43" s="333">
        <v>2200</v>
      </c>
      <c r="G43" s="333">
        <v>7470</v>
      </c>
      <c r="J43" s="904"/>
    </row>
    <row r="44" spans="1:10" x14ac:dyDescent="0.25">
      <c r="A44" s="309">
        <v>35</v>
      </c>
      <c r="B44" s="312" t="s">
        <v>163</v>
      </c>
      <c r="C44" s="313" t="s">
        <v>164</v>
      </c>
      <c r="D44" s="333">
        <f t="shared" si="1"/>
        <v>8350</v>
      </c>
      <c r="E44" s="333">
        <v>0</v>
      </c>
      <c r="F44" s="333">
        <v>1275</v>
      </c>
      <c r="G44" s="333">
        <v>7075</v>
      </c>
      <c r="J44" s="904"/>
    </row>
    <row r="45" spans="1:10" x14ac:dyDescent="0.25">
      <c r="A45" s="309">
        <v>36</v>
      </c>
      <c r="B45" s="222" t="s">
        <v>165</v>
      </c>
      <c r="C45" s="220" t="s">
        <v>166</v>
      </c>
      <c r="D45" s="333">
        <f t="shared" si="1"/>
        <v>2400</v>
      </c>
      <c r="E45" s="333">
        <v>0</v>
      </c>
      <c r="F45" s="333">
        <v>2400</v>
      </c>
      <c r="G45" s="333">
        <v>0</v>
      </c>
      <c r="J45" s="904"/>
    </row>
    <row r="46" spans="1:10" x14ac:dyDescent="0.25">
      <c r="A46" s="309">
        <v>37</v>
      </c>
      <c r="B46" s="222" t="s">
        <v>86</v>
      </c>
      <c r="C46" s="220" t="s">
        <v>87</v>
      </c>
      <c r="D46" s="333">
        <f t="shared" si="1"/>
        <v>6970</v>
      </c>
      <c r="E46" s="333">
        <v>0</v>
      </c>
      <c r="F46" s="333">
        <v>500</v>
      </c>
      <c r="G46" s="333">
        <v>6470</v>
      </c>
      <c r="J46" s="904"/>
    </row>
    <row r="47" spans="1:10" x14ac:dyDescent="0.25">
      <c r="A47" s="309">
        <v>38</v>
      </c>
      <c r="B47" s="219" t="s">
        <v>167</v>
      </c>
      <c r="C47" s="220" t="s">
        <v>168</v>
      </c>
      <c r="D47" s="333">
        <f t="shared" si="1"/>
        <v>5300</v>
      </c>
      <c r="E47" s="333">
        <v>0</v>
      </c>
      <c r="F47" s="333">
        <v>834</v>
      </c>
      <c r="G47" s="333">
        <v>4466</v>
      </c>
      <c r="J47" s="904"/>
    </row>
    <row r="48" spans="1:10" x14ac:dyDescent="0.25">
      <c r="A48" s="309">
        <v>39</v>
      </c>
      <c r="B48" s="224" t="s">
        <v>169</v>
      </c>
      <c r="C48" s="220" t="s">
        <v>170</v>
      </c>
      <c r="D48" s="333">
        <f t="shared" si="1"/>
        <v>0</v>
      </c>
      <c r="E48" s="333">
        <v>0</v>
      </c>
      <c r="F48" s="333">
        <v>0</v>
      </c>
      <c r="G48" s="333">
        <v>0</v>
      </c>
      <c r="J48" s="904"/>
    </row>
    <row r="49" spans="1:10" x14ac:dyDescent="0.25">
      <c r="A49" s="309">
        <v>40</v>
      </c>
      <c r="B49" s="219" t="s">
        <v>171</v>
      </c>
      <c r="C49" s="220" t="s">
        <v>172</v>
      </c>
      <c r="D49" s="333">
        <f t="shared" si="1"/>
        <v>10000</v>
      </c>
      <c r="E49" s="333">
        <v>1632</v>
      </c>
      <c r="F49" s="333">
        <v>3480</v>
      </c>
      <c r="G49" s="333">
        <v>4888</v>
      </c>
      <c r="J49" s="904"/>
    </row>
    <row r="50" spans="1:10" x14ac:dyDescent="0.25">
      <c r="A50" s="309">
        <v>41</v>
      </c>
      <c r="B50" s="222" t="s">
        <v>78</v>
      </c>
      <c r="C50" s="220" t="s">
        <v>79</v>
      </c>
      <c r="D50" s="333">
        <f t="shared" si="1"/>
        <v>7300</v>
      </c>
      <c r="E50" s="333">
        <v>0</v>
      </c>
      <c r="F50" s="333">
        <v>260</v>
      </c>
      <c r="G50" s="333">
        <v>7040</v>
      </c>
      <c r="J50" s="904"/>
    </row>
    <row r="51" spans="1:10" x14ac:dyDescent="0.25">
      <c r="A51" s="309">
        <v>42</v>
      </c>
      <c r="B51" s="222" t="s">
        <v>173</v>
      </c>
      <c r="C51" s="220" t="s">
        <v>174</v>
      </c>
      <c r="D51" s="333">
        <f t="shared" si="1"/>
        <v>41150</v>
      </c>
      <c r="E51" s="333">
        <v>0</v>
      </c>
      <c r="F51" s="333">
        <v>0</v>
      </c>
      <c r="G51" s="333">
        <v>41150</v>
      </c>
      <c r="J51" s="904"/>
    </row>
    <row r="52" spans="1:10" x14ac:dyDescent="0.25">
      <c r="A52" s="309">
        <v>43</v>
      </c>
      <c r="B52" s="219" t="s">
        <v>175</v>
      </c>
      <c r="C52" s="220" t="s">
        <v>176</v>
      </c>
      <c r="D52" s="333">
        <f t="shared" si="1"/>
        <v>3396</v>
      </c>
      <c r="E52" s="333">
        <v>0</v>
      </c>
      <c r="F52" s="333">
        <v>0</v>
      </c>
      <c r="G52" s="333">
        <v>3396</v>
      </c>
      <c r="J52" s="904"/>
    </row>
    <row r="53" spans="1:10" x14ac:dyDescent="0.25">
      <c r="A53" s="309">
        <v>44</v>
      </c>
      <c r="B53" s="219" t="s">
        <v>42</v>
      </c>
      <c r="C53" s="220" t="s">
        <v>43</v>
      </c>
      <c r="D53" s="333">
        <f t="shared" si="1"/>
        <v>7000</v>
      </c>
      <c r="E53" s="333">
        <v>0</v>
      </c>
      <c r="F53" s="333">
        <v>1796</v>
      </c>
      <c r="G53" s="333">
        <v>5204</v>
      </c>
      <c r="J53" s="904"/>
    </row>
    <row r="54" spans="1:10" x14ac:dyDescent="0.25">
      <c r="A54" s="309">
        <v>45</v>
      </c>
      <c r="B54" s="224" t="s">
        <v>177</v>
      </c>
      <c r="C54" s="220" t="s">
        <v>178</v>
      </c>
      <c r="D54" s="333">
        <f t="shared" si="1"/>
        <v>0</v>
      </c>
      <c r="E54" s="333">
        <v>0</v>
      </c>
      <c r="F54" s="333">
        <v>0</v>
      </c>
      <c r="G54" s="333">
        <v>0</v>
      </c>
      <c r="J54" s="904"/>
    </row>
    <row r="55" spans="1:10" x14ac:dyDescent="0.25">
      <c r="A55" s="309">
        <v>46</v>
      </c>
      <c r="B55" s="219" t="s">
        <v>179</v>
      </c>
      <c r="C55" s="220" t="s">
        <v>180</v>
      </c>
      <c r="D55" s="333">
        <f t="shared" si="1"/>
        <v>2000</v>
      </c>
      <c r="E55" s="333">
        <v>0</v>
      </c>
      <c r="F55" s="333">
        <v>0</v>
      </c>
      <c r="G55" s="333">
        <v>2000</v>
      </c>
      <c r="J55" s="904"/>
    </row>
    <row r="56" spans="1:10" x14ac:dyDescent="0.25">
      <c r="A56" s="309">
        <v>47</v>
      </c>
      <c r="B56" s="224" t="s">
        <v>181</v>
      </c>
      <c r="C56" s="220" t="s">
        <v>182</v>
      </c>
      <c r="D56" s="333">
        <f t="shared" si="1"/>
        <v>4743</v>
      </c>
      <c r="E56" s="333">
        <v>0</v>
      </c>
      <c r="F56" s="333">
        <v>285</v>
      </c>
      <c r="G56" s="333">
        <v>4458</v>
      </c>
      <c r="J56" s="904"/>
    </row>
    <row r="57" spans="1:10" x14ac:dyDescent="0.25">
      <c r="A57" s="309">
        <v>48</v>
      </c>
      <c r="B57" s="219" t="s">
        <v>183</v>
      </c>
      <c r="C57" s="220" t="s">
        <v>184</v>
      </c>
      <c r="D57" s="333">
        <f t="shared" si="1"/>
        <v>6300</v>
      </c>
      <c r="E57" s="333">
        <v>0</v>
      </c>
      <c r="F57" s="333">
        <v>10</v>
      </c>
      <c r="G57" s="333">
        <v>6290</v>
      </c>
      <c r="J57" s="904"/>
    </row>
    <row r="58" spans="1:10" x14ac:dyDescent="0.25">
      <c r="A58" s="309">
        <v>49</v>
      </c>
      <c r="B58" s="219" t="s">
        <v>185</v>
      </c>
      <c r="C58" s="220" t="s">
        <v>186</v>
      </c>
      <c r="D58" s="333">
        <f t="shared" si="1"/>
        <v>23154</v>
      </c>
      <c r="E58" s="333">
        <v>150</v>
      </c>
      <c r="F58" s="333">
        <v>85</v>
      </c>
      <c r="G58" s="333">
        <v>22919</v>
      </c>
      <c r="J58" s="904"/>
    </row>
    <row r="59" spans="1:10" x14ac:dyDescent="0.25">
      <c r="A59" s="309">
        <v>50</v>
      </c>
      <c r="B59" s="219" t="s">
        <v>187</v>
      </c>
      <c r="C59" s="220" t="s">
        <v>188</v>
      </c>
      <c r="D59" s="333">
        <f t="shared" si="1"/>
        <v>6051</v>
      </c>
      <c r="E59" s="333">
        <v>0</v>
      </c>
      <c r="F59" s="333">
        <v>2148</v>
      </c>
      <c r="G59" s="333">
        <v>3903</v>
      </c>
      <c r="J59" s="904"/>
    </row>
    <row r="60" spans="1:10" x14ac:dyDescent="0.25">
      <c r="A60" s="309">
        <v>51</v>
      </c>
      <c r="B60" s="219" t="s">
        <v>189</v>
      </c>
      <c r="C60" s="220" t="s">
        <v>190</v>
      </c>
      <c r="D60" s="333">
        <f t="shared" si="1"/>
        <v>0</v>
      </c>
      <c r="E60" s="333">
        <v>0</v>
      </c>
      <c r="F60" s="333">
        <v>0</v>
      </c>
      <c r="G60" s="333">
        <v>0</v>
      </c>
      <c r="J60" s="904"/>
    </row>
    <row r="61" spans="1:10" x14ac:dyDescent="0.25">
      <c r="A61" s="309">
        <v>52</v>
      </c>
      <c r="B61" s="219" t="s">
        <v>191</v>
      </c>
      <c r="C61" s="220" t="s">
        <v>192</v>
      </c>
      <c r="D61" s="333">
        <f t="shared" si="1"/>
        <v>0</v>
      </c>
      <c r="E61" s="333">
        <v>0</v>
      </c>
      <c r="F61" s="333">
        <v>0</v>
      </c>
      <c r="G61" s="333">
        <v>0</v>
      </c>
      <c r="J61" s="904"/>
    </row>
    <row r="62" spans="1:10" x14ac:dyDescent="0.25">
      <c r="A62" s="309">
        <v>53</v>
      </c>
      <c r="B62" s="219" t="s">
        <v>22</v>
      </c>
      <c r="C62" s="220" t="s">
        <v>23</v>
      </c>
      <c r="D62" s="333">
        <f t="shared" si="1"/>
        <v>0</v>
      </c>
      <c r="E62" s="333">
        <v>0</v>
      </c>
      <c r="F62" s="333">
        <v>0</v>
      </c>
      <c r="G62" s="333">
        <v>0</v>
      </c>
      <c r="J62" s="904"/>
    </row>
    <row r="63" spans="1:10" x14ac:dyDescent="0.25">
      <c r="A63" s="309">
        <v>54</v>
      </c>
      <c r="B63" s="224" t="s">
        <v>24</v>
      </c>
      <c r="C63" s="220" t="s">
        <v>25</v>
      </c>
      <c r="D63" s="333">
        <f t="shared" si="1"/>
        <v>0</v>
      </c>
      <c r="E63" s="333">
        <v>0</v>
      </c>
      <c r="F63" s="333">
        <v>0</v>
      </c>
      <c r="G63" s="333">
        <v>0</v>
      </c>
      <c r="J63" s="904"/>
    </row>
    <row r="64" spans="1:10" x14ac:dyDescent="0.25">
      <c r="A64" s="309">
        <v>55</v>
      </c>
      <c r="B64" s="222" t="s">
        <v>193</v>
      </c>
      <c r="C64" s="220" t="s">
        <v>194</v>
      </c>
      <c r="D64" s="333">
        <f t="shared" si="1"/>
        <v>800</v>
      </c>
      <c r="E64" s="333">
        <v>0</v>
      </c>
      <c r="F64" s="333">
        <v>800</v>
      </c>
      <c r="G64" s="333">
        <v>0</v>
      </c>
      <c r="J64" s="904"/>
    </row>
    <row r="65" spans="1:10" x14ac:dyDescent="0.25">
      <c r="A65" s="309">
        <v>56</v>
      </c>
      <c r="B65" s="224" t="s">
        <v>26</v>
      </c>
      <c r="C65" s="220" t="s">
        <v>27</v>
      </c>
      <c r="D65" s="333">
        <f t="shared" si="1"/>
        <v>0</v>
      </c>
      <c r="E65" s="333">
        <v>0</v>
      </c>
      <c r="F65" s="333">
        <v>0</v>
      </c>
      <c r="G65" s="333">
        <v>0</v>
      </c>
      <c r="J65" s="904"/>
    </row>
    <row r="66" spans="1:10" x14ac:dyDescent="0.25">
      <c r="A66" s="309">
        <v>57</v>
      </c>
      <c r="B66" s="219" t="s">
        <v>28</v>
      </c>
      <c r="C66" s="220" t="s">
        <v>29</v>
      </c>
      <c r="D66" s="333">
        <f t="shared" si="1"/>
        <v>0</v>
      </c>
      <c r="E66" s="333">
        <v>0</v>
      </c>
      <c r="F66" s="333">
        <v>0</v>
      </c>
      <c r="G66" s="333">
        <v>0</v>
      </c>
      <c r="J66" s="904"/>
    </row>
    <row r="67" spans="1:10" ht="18.75" customHeight="1" x14ac:dyDescent="0.25">
      <c r="A67" s="309">
        <v>58</v>
      </c>
      <c r="B67" s="222" t="s">
        <v>196</v>
      </c>
      <c r="C67" s="220" t="s">
        <v>197</v>
      </c>
      <c r="D67" s="333">
        <f t="shared" si="1"/>
        <v>6000</v>
      </c>
      <c r="E67" s="333">
        <v>0</v>
      </c>
      <c r="F67" s="333">
        <v>6000</v>
      </c>
      <c r="G67" s="333">
        <v>0</v>
      </c>
      <c r="J67" s="904"/>
    </row>
    <row r="68" spans="1:10" ht="17.25" customHeight="1" x14ac:dyDescent="0.25">
      <c r="A68" s="309">
        <v>59</v>
      </c>
      <c r="B68" s="222" t="s">
        <v>198</v>
      </c>
      <c r="C68" s="220" t="s">
        <v>199</v>
      </c>
      <c r="D68" s="333">
        <f t="shared" si="1"/>
        <v>18967</v>
      </c>
      <c r="E68" s="333">
        <v>0</v>
      </c>
      <c r="F68" s="333">
        <v>18967</v>
      </c>
      <c r="G68" s="333">
        <v>0</v>
      </c>
      <c r="J68" s="904"/>
    </row>
    <row r="69" spans="1:10" x14ac:dyDescent="0.25">
      <c r="A69" s="309">
        <v>60</v>
      </c>
      <c r="B69" s="224" t="s">
        <v>62</v>
      </c>
      <c r="C69" s="220" t="s">
        <v>200</v>
      </c>
      <c r="D69" s="333">
        <f t="shared" si="1"/>
        <v>0</v>
      </c>
      <c r="E69" s="333">
        <v>0</v>
      </c>
      <c r="F69" s="333">
        <v>0</v>
      </c>
      <c r="G69" s="333">
        <v>0</v>
      </c>
      <c r="J69" s="904"/>
    </row>
    <row r="70" spans="1:10" x14ac:dyDescent="0.25">
      <c r="A70" s="309">
        <v>61</v>
      </c>
      <c r="B70" s="224" t="s">
        <v>64</v>
      </c>
      <c r="C70" s="220" t="s">
        <v>201</v>
      </c>
      <c r="D70" s="333">
        <f t="shared" si="1"/>
        <v>0</v>
      </c>
      <c r="E70" s="333">
        <v>0</v>
      </c>
      <c r="F70" s="333">
        <v>0</v>
      </c>
      <c r="G70" s="333">
        <v>0</v>
      </c>
      <c r="J70" s="904"/>
    </row>
    <row r="71" spans="1:10" x14ac:dyDescent="0.25">
      <c r="A71" s="309">
        <v>62</v>
      </c>
      <c r="B71" s="224" t="s">
        <v>66</v>
      </c>
      <c r="C71" s="220" t="s">
        <v>202</v>
      </c>
      <c r="D71" s="333">
        <f t="shared" si="1"/>
        <v>0</v>
      </c>
      <c r="E71" s="333">
        <v>0</v>
      </c>
      <c r="F71" s="333">
        <v>0</v>
      </c>
      <c r="G71" s="333">
        <v>0</v>
      </c>
      <c r="J71" s="904"/>
    </row>
    <row r="72" spans="1:10" x14ac:dyDescent="0.25">
      <c r="A72" s="309">
        <v>63</v>
      </c>
      <c r="B72" s="224" t="s">
        <v>203</v>
      </c>
      <c r="C72" s="220" t="s">
        <v>204</v>
      </c>
      <c r="D72" s="333">
        <f t="shared" si="1"/>
        <v>200</v>
      </c>
      <c r="E72" s="333">
        <v>0</v>
      </c>
      <c r="F72" s="333">
        <v>200</v>
      </c>
      <c r="G72" s="333">
        <v>0</v>
      </c>
      <c r="J72" s="904"/>
    </row>
    <row r="73" spans="1:10" x14ac:dyDescent="0.25">
      <c r="A73" s="309">
        <v>64</v>
      </c>
      <c r="B73" s="222" t="s">
        <v>205</v>
      </c>
      <c r="C73" s="220" t="s">
        <v>206</v>
      </c>
      <c r="D73" s="333">
        <f t="shared" si="1"/>
        <v>40</v>
      </c>
      <c r="E73" s="333">
        <v>0</v>
      </c>
      <c r="F73" s="333">
        <v>40</v>
      </c>
      <c r="G73" s="333">
        <v>0</v>
      </c>
      <c r="J73" s="904"/>
    </row>
    <row r="74" spans="1:10" x14ac:dyDescent="0.25">
      <c r="A74" s="309">
        <v>65</v>
      </c>
      <c r="B74" s="224" t="s">
        <v>207</v>
      </c>
      <c r="C74" s="220" t="s">
        <v>208</v>
      </c>
      <c r="D74" s="333">
        <f t="shared" si="1"/>
        <v>50</v>
      </c>
      <c r="E74" s="333">
        <v>0</v>
      </c>
      <c r="F74" s="333">
        <v>50</v>
      </c>
      <c r="G74" s="333">
        <v>0</v>
      </c>
      <c r="J74" s="904"/>
    </row>
    <row r="75" spans="1:10" x14ac:dyDescent="0.25">
      <c r="A75" s="309">
        <v>66</v>
      </c>
      <c r="B75" s="224" t="s">
        <v>209</v>
      </c>
      <c r="C75" s="220" t="s">
        <v>210</v>
      </c>
      <c r="D75" s="333">
        <f t="shared" ref="D75:D138" si="2">E75+F75+G75</f>
        <v>0</v>
      </c>
      <c r="E75" s="333">
        <v>0</v>
      </c>
      <c r="F75" s="333">
        <v>0</v>
      </c>
      <c r="G75" s="333">
        <v>0</v>
      </c>
      <c r="J75" s="904"/>
    </row>
    <row r="76" spans="1:10" x14ac:dyDescent="0.25">
      <c r="A76" s="309">
        <v>67</v>
      </c>
      <c r="B76" s="222" t="s">
        <v>211</v>
      </c>
      <c r="C76" s="220" t="s">
        <v>212</v>
      </c>
      <c r="D76" s="333">
        <f t="shared" si="2"/>
        <v>2550</v>
      </c>
      <c r="E76" s="333">
        <v>0</v>
      </c>
      <c r="F76" s="333">
        <v>2550</v>
      </c>
      <c r="G76" s="333">
        <v>0</v>
      </c>
      <c r="J76" s="904"/>
    </row>
    <row r="77" spans="1:10" x14ac:dyDescent="0.25">
      <c r="A77" s="309">
        <v>68</v>
      </c>
      <c r="B77" s="222" t="s">
        <v>213</v>
      </c>
      <c r="C77" s="220" t="s">
        <v>214</v>
      </c>
      <c r="D77" s="333">
        <f t="shared" si="2"/>
        <v>160</v>
      </c>
      <c r="E77" s="333">
        <v>0</v>
      </c>
      <c r="F77" s="333">
        <v>160</v>
      </c>
      <c r="G77" s="333">
        <v>0</v>
      </c>
      <c r="J77" s="904"/>
    </row>
    <row r="78" spans="1:10" x14ac:dyDescent="0.25">
      <c r="A78" s="309">
        <v>69</v>
      </c>
      <c r="B78" s="222" t="s">
        <v>215</v>
      </c>
      <c r="C78" s="220" t="s">
        <v>216</v>
      </c>
      <c r="D78" s="333">
        <f t="shared" si="2"/>
        <v>124</v>
      </c>
      <c r="E78" s="333">
        <v>0</v>
      </c>
      <c r="F78" s="333">
        <v>124</v>
      </c>
      <c r="G78" s="333">
        <v>0</v>
      </c>
      <c r="J78" s="904"/>
    </row>
    <row r="79" spans="1:10" x14ac:dyDescent="0.25">
      <c r="A79" s="309">
        <v>70</v>
      </c>
      <c r="B79" s="219" t="s">
        <v>217</v>
      </c>
      <c r="C79" s="220" t="s">
        <v>218</v>
      </c>
      <c r="D79" s="333">
        <f t="shared" si="2"/>
        <v>6000</v>
      </c>
      <c r="E79" s="333">
        <v>0</v>
      </c>
      <c r="F79" s="333">
        <v>2000</v>
      </c>
      <c r="G79" s="333">
        <v>4000</v>
      </c>
      <c r="J79" s="904"/>
    </row>
    <row r="80" spans="1:10" x14ac:dyDescent="0.25">
      <c r="A80" s="309">
        <v>71</v>
      </c>
      <c r="B80" s="222" t="s">
        <v>50</v>
      </c>
      <c r="C80" s="220" t="s">
        <v>219</v>
      </c>
      <c r="D80" s="333">
        <f t="shared" si="2"/>
        <v>4000</v>
      </c>
      <c r="E80" s="333">
        <v>0</v>
      </c>
      <c r="F80" s="333">
        <v>0</v>
      </c>
      <c r="G80" s="333">
        <v>4000</v>
      </c>
      <c r="J80" s="904"/>
    </row>
    <row r="81" spans="1:10" x14ac:dyDescent="0.25">
      <c r="A81" s="309">
        <v>72</v>
      </c>
      <c r="B81" s="219" t="s">
        <v>52</v>
      </c>
      <c r="C81" s="220" t="s">
        <v>220</v>
      </c>
      <c r="D81" s="333">
        <f t="shared" si="2"/>
        <v>6000</v>
      </c>
      <c r="E81" s="333">
        <v>0</v>
      </c>
      <c r="F81" s="333">
        <v>0</v>
      </c>
      <c r="G81" s="333">
        <v>6000</v>
      </c>
      <c r="J81" s="904"/>
    </row>
    <row r="82" spans="1:10" x14ac:dyDescent="0.25">
      <c r="A82" s="309">
        <v>73</v>
      </c>
      <c r="B82" s="222" t="s">
        <v>44</v>
      </c>
      <c r="C82" s="220" t="s">
        <v>221</v>
      </c>
      <c r="D82" s="333">
        <f t="shared" si="2"/>
        <v>1000</v>
      </c>
      <c r="E82" s="333">
        <v>0</v>
      </c>
      <c r="F82" s="333">
        <v>1000</v>
      </c>
      <c r="G82" s="333">
        <v>0</v>
      </c>
      <c r="J82" s="904"/>
    </row>
    <row r="83" spans="1:10" x14ac:dyDescent="0.25">
      <c r="A83" s="309">
        <v>74</v>
      </c>
      <c r="B83" s="222" t="s">
        <v>54</v>
      </c>
      <c r="C83" s="220" t="s">
        <v>222</v>
      </c>
      <c r="D83" s="333">
        <f t="shared" si="2"/>
        <v>2000</v>
      </c>
      <c r="E83" s="333">
        <v>0</v>
      </c>
      <c r="F83" s="333">
        <v>0</v>
      </c>
      <c r="G83" s="333">
        <v>2000</v>
      </c>
      <c r="J83" s="904"/>
    </row>
    <row r="84" spans="1:10" x14ac:dyDescent="0.25">
      <c r="A84" s="309">
        <v>75</v>
      </c>
      <c r="B84" s="222" t="s">
        <v>36</v>
      </c>
      <c r="C84" s="220" t="s">
        <v>37</v>
      </c>
      <c r="D84" s="333">
        <f t="shared" si="2"/>
        <v>0</v>
      </c>
      <c r="E84" s="333">
        <v>0</v>
      </c>
      <c r="F84" s="333">
        <v>0</v>
      </c>
      <c r="G84" s="333">
        <v>0</v>
      </c>
      <c r="J84" s="904"/>
    </row>
    <row r="85" spans="1:10" x14ac:dyDescent="0.25">
      <c r="A85" s="309">
        <v>76</v>
      </c>
      <c r="B85" s="222" t="s">
        <v>48</v>
      </c>
      <c r="C85" s="220" t="s">
        <v>223</v>
      </c>
      <c r="D85" s="333">
        <f t="shared" si="2"/>
        <v>1500</v>
      </c>
      <c r="E85" s="333">
        <v>0</v>
      </c>
      <c r="F85" s="333">
        <v>0</v>
      </c>
      <c r="G85" s="333">
        <v>1500</v>
      </c>
      <c r="J85" s="904"/>
    </row>
    <row r="86" spans="1:10" x14ac:dyDescent="0.25">
      <c r="A86" s="309">
        <v>77</v>
      </c>
      <c r="B86" s="222" t="s">
        <v>224</v>
      </c>
      <c r="C86" s="220" t="s">
        <v>225</v>
      </c>
      <c r="D86" s="333">
        <f t="shared" si="2"/>
        <v>0</v>
      </c>
      <c r="E86" s="333">
        <v>0</v>
      </c>
      <c r="F86" s="333">
        <v>0</v>
      </c>
      <c r="G86" s="333">
        <v>0</v>
      </c>
      <c r="J86" s="904"/>
    </row>
    <row r="87" spans="1:10" x14ac:dyDescent="0.25">
      <c r="A87" s="309">
        <v>78</v>
      </c>
      <c r="B87" s="224" t="s">
        <v>226</v>
      </c>
      <c r="C87" s="220" t="s">
        <v>227</v>
      </c>
      <c r="D87" s="333">
        <f t="shared" si="2"/>
        <v>0</v>
      </c>
      <c r="E87" s="333">
        <v>0</v>
      </c>
      <c r="F87" s="333">
        <v>0</v>
      </c>
      <c r="G87" s="333">
        <v>0</v>
      </c>
      <c r="J87" s="904"/>
    </row>
    <row r="88" spans="1:10" ht="16.5" customHeight="1" x14ac:dyDescent="0.25">
      <c r="A88" s="1008">
        <v>79</v>
      </c>
      <c r="B88" s="1011" t="s">
        <v>228</v>
      </c>
      <c r="C88" s="314" t="s">
        <v>229</v>
      </c>
      <c r="D88" s="333">
        <f t="shared" si="2"/>
        <v>0</v>
      </c>
      <c r="E88" s="333">
        <v>0</v>
      </c>
      <c r="F88" s="333">
        <v>0</v>
      </c>
      <c r="G88" s="333">
        <v>0</v>
      </c>
      <c r="J88" s="904"/>
    </row>
    <row r="89" spans="1:10" ht="28.5" customHeight="1" x14ac:dyDescent="0.25">
      <c r="A89" s="1009"/>
      <c r="B89" s="1012"/>
      <c r="C89" s="220" t="s">
        <v>230</v>
      </c>
      <c r="D89" s="333">
        <f t="shared" si="2"/>
        <v>0</v>
      </c>
      <c r="E89" s="333">
        <v>0</v>
      </c>
      <c r="F89" s="333">
        <v>0</v>
      </c>
      <c r="G89" s="333">
        <v>0</v>
      </c>
      <c r="J89" s="904"/>
    </row>
    <row r="90" spans="1:10" x14ac:dyDescent="0.25">
      <c r="A90" s="1009"/>
      <c r="B90" s="1012"/>
      <c r="C90" s="220" t="s">
        <v>231</v>
      </c>
      <c r="D90" s="333">
        <f t="shared" si="2"/>
        <v>0</v>
      </c>
      <c r="E90" s="333">
        <v>0</v>
      </c>
      <c r="F90" s="333">
        <v>0</v>
      </c>
      <c r="G90" s="333">
        <v>0</v>
      </c>
      <c r="J90" s="904"/>
    </row>
    <row r="91" spans="1:10" ht="24" x14ac:dyDescent="0.25">
      <c r="A91" s="1010"/>
      <c r="B91" s="1013"/>
      <c r="C91" s="315" t="s">
        <v>232</v>
      </c>
      <c r="D91" s="333">
        <f t="shared" si="2"/>
        <v>0</v>
      </c>
      <c r="E91" s="333">
        <v>0</v>
      </c>
      <c r="F91" s="333">
        <v>0</v>
      </c>
      <c r="G91" s="333">
        <v>0</v>
      </c>
      <c r="J91" s="904"/>
    </row>
    <row r="92" spans="1:10" x14ac:dyDescent="0.25">
      <c r="A92" s="309">
        <v>80</v>
      </c>
      <c r="B92" s="224" t="s">
        <v>233</v>
      </c>
      <c r="C92" s="220" t="s">
        <v>234</v>
      </c>
      <c r="D92" s="333">
        <f t="shared" si="2"/>
        <v>0</v>
      </c>
      <c r="E92" s="333">
        <v>0</v>
      </c>
      <c r="F92" s="333">
        <v>0</v>
      </c>
      <c r="G92" s="333">
        <v>0</v>
      </c>
      <c r="J92" s="904"/>
    </row>
    <row r="93" spans="1:10" x14ac:dyDescent="0.25">
      <c r="A93" s="309">
        <v>81</v>
      </c>
      <c r="B93" s="224" t="s">
        <v>235</v>
      </c>
      <c r="C93" s="220" t="s">
        <v>236</v>
      </c>
      <c r="D93" s="333">
        <f t="shared" si="2"/>
        <v>0</v>
      </c>
      <c r="E93" s="333">
        <v>0</v>
      </c>
      <c r="F93" s="333">
        <v>0</v>
      </c>
      <c r="G93" s="333">
        <v>0</v>
      </c>
      <c r="J93" s="904"/>
    </row>
    <row r="94" spans="1:10" x14ac:dyDescent="0.25">
      <c r="A94" s="309">
        <v>82</v>
      </c>
      <c r="B94" s="219" t="s">
        <v>74</v>
      </c>
      <c r="C94" s="220" t="s">
        <v>237</v>
      </c>
      <c r="D94" s="333">
        <f t="shared" si="2"/>
        <v>2200</v>
      </c>
      <c r="E94" s="333">
        <v>0</v>
      </c>
      <c r="F94" s="333">
        <v>17</v>
      </c>
      <c r="G94" s="333">
        <v>2183</v>
      </c>
      <c r="J94" s="904"/>
    </row>
    <row r="95" spans="1:10" x14ac:dyDescent="0.25">
      <c r="A95" s="309">
        <v>83</v>
      </c>
      <c r="B95" s="224" t="s">
        <v>38</v>
      </c>
      <c r="C95" s="220" t="s">
        <v>39</v>
      </c>
      <c r="D95" s="333">
        <f t="shared" si="2"/>
        <v>200</v>
      </c>
      <c r="E95" s="333">
        <v>200</v>
      </c>
      <c r="F95" s="333">
        <v>0</v>
      </c>
      <c r="G95" s="333">
        <v>0</v>
      </c>
      <c r="J95" s="904"/>
    </row>
    <row r="96" spans="1:10" x14ac:dyDescent="0.25">
      <c r="A96" s="309">
        <v>84</v>
      </c>
      <c r="B96" s="219" t="s">
        <v>40</v>
      </c>
      <c r="C96" s="220" t="s">
        <v>41</v>
      </c>
      <c r="D96" s="333">
        <f t="shared" si="2"/>
        <v>3140</v>
      </c>
      <c r="E96" s="333">
        <v>0</v>
      </c>
      <c r="F96" s="333">
        <v>124</v>
      </c>
      <c r="G96" s="333">
        <v>3016</v>
      </c>
      <c r="J96" s="904"/>
    </row>
    <row r="97" spans="1:10" x14ac:dyDescent="0.25">
      <c r="A97" s="309">
        <v>85</v>
      </c>
      <c r="B97" s="219" t="s">
        <v>238</v>
      </c>
      <c r="C97" s="220" t="s">
        <v>239</v>
      </c>
      <c r="D97" s="333">
        <f t="shared" si="2"/>
        <v>8000</v>
      </c>
      <c r="E97" s="333">
        <v>0</v>
      </c>
      <c r="F97" s="333">
        <v>2079</v>
      </c>
      <c r="G97" s="333">
        <v>5921</v>
      </c>
      <c r="J97" s="904"/>
    </row>
    <row r="98" spans="1:10" x14ac:dyDescent="0.25">
      <c r="A98" s="309">
        <v>86</v>
      </c>
      <c r="B98" s="224" t="s">
        <v>240</v>
      </c>
      <c r="C98" s="220" t="s">
        <v>241</v>
      </c>
      <c r="D98" s="333">
        <f t="shared" si="2"/>
        <v>6650</v>
      </c>
      <c r="E98" s="333">
        <v>0</v>
      </c>
      <c r="F98" s="333">
        <v>0</v>
      </c>
      <c r="G98" s="333">
        <v>6650</v>
      </c>
      <c r="J98" s="904"/>
    </row>
    <row r="99" spans="1:10" x14ac:dyDescent="0.25">
      <c r="A99" s="309">
        <v>87</v>
      </c>
      <c r="B99" s="224" t="s">
        <v>88</v>
      </c>
      <c r="C99" s="220" t="s">
        <v>89</v>
      </c>
      <c r="D99" s="333">
        <f t="shared" si="2"/>
        <v>300</v>
      </c>
      <c r="E99" s="333">
        <v>300</v>
      </c>
      <c r="F99" s="333">
        <v>0</v>
      </c>
      <c r="G99" s="333">
        <v>0</v>
      </c>
      <c r="J99" s="904"/>
    </row>
    <row r="100" spans="1:10" x14ac:dyDescent="0.25">
      <c r="A100" s="309">
        <v>88</v>
      </c>
      <c r="B100" s="222" t="s">
        <v>242</v>
      </c>
      <c r="C100" s="220" t="s">
        <v>243</v>
      </c>
      <c r="D100" s="333">
        <f t="shared" si="2"/>
        <v>2600</v>
      </c>
      <c r="E100" s="333">
        <v>0</v>
      </c>
      <c r="F100" s="333">
        <v>2300</v>
      </c>
      <c r="G100" s="333">
        <v>300</v>
      </c>
      <c r="J100" s="904"/>
    </row>
    <row r="101" spans="1:10" x14ac:dyDescent="0.25">
      <c r="A101" s="309">
        <v>89</v>
      </c>
      <c r="B101" s="222" t="s">
        <v>244</v>
      </c>
      <c r="C101" s="220" t="s">
        <v>245</v>
      </c>
      <c r="D101" s="333">
        <f t="shared" si="2"/>
        <v>6820</v>
      </c>
      <c r="E101" s="333">
        <v>193</v>
      </c>
      <c r="F101" s="333">
        <v>227</v>
      </c>
      <c r="G101" s="333">
        <v>6400</v>
      </c>
      <c r="J101" s="904"/>
    </row>
    <row r="102" spans="1:10" x14ac:dyDescent="0.25">
      <c r="A102" s="309">
        <v>90</v>
      </c>
      <c r="B102" s="219" t="s">
        <v>246</v>
      </c>
      <c r="C102" s="220" t="s">
        <v>247</v>
      </c>
      <c r="D102" s="333">
        <f t="shared" si="2"/>
        <v>3200</v>
      </c>
      <c r="E102" s="333">
        <v>0</v>
      </c>
      <c r="F102" s="333">
        <v>3100</v>
      </c>
      <c r="G102" s="333">
        <v>100</v>
      </c>
      <c r="J102" s="904"/>
    </row>
    <row r="103" spans="1:10" x14ac:dyDescent="0.25">
      <c r="A103" s="309">
        <v>91</v>
      </c>
      <c r="B103" s="222" t="s">
        <v>248</v>
      </c>
      <c r="C103" s="220" t="s">
        <v>249</v>
      </c>
      <c r="D103" s="333">
        <f t="shared" si="2"/>
        <v>6500</v>
      </c>
      <c r="E103" s="333">
        <v>505</v>
      </c>
      <c r="F103" s="333">
        <v>0</v>
      </c>
      <c r="G103" s="333">
        <v>5995</v>
      </c>
      <c r="J103" s="904"/>
    </row>
    <row r="104" spans="1:10" x14ac:dyDescent="0.25">
      <c r="A104" s="309">
        <v>92</v>
      </c>
      <c r="B104" s="222" t="s">
        <v>250</v>
      </c>
      <c r="C104" s="220" t="s">
        <v>251</v>
      </c>
      <c r="D104" s="333">
        <f t="shared" si="2"/>
        <v>8300</v>
      </c>
      <c r="E104" s="333">
        <v>0</v>
      </c>
      <c r="F104" s="333">
        <v>0</v>
      </c>
      <c r="G104" s="333">
        <v>8300</v>
      </c>
      <c r="J104" s="904"/>
    </row>
    <row r="105" spans="1:10" x14ac:dyDescent="0.25">
      <c r="A105" s="309">
        <v>93</v>
      </c>
      <c r="B105" s="224" t="s">
        <v>32</v>
      </c>
      <c r="C105" s="220" t="s">
        <v>33</v>
      </c>
      <c r="D105" s="333">
        <f t="shared" si="2"/>
        <v>11417</v>
      </c>
      <c r="E105" s="333">
        <v>0</v>
      </c>
      <c r="F105" s="333">
        <v>2951</v>
      </c>
      <c r="G105" s="333">
        <v>8466</v>
      </c>
      <c r="J105" s="904"/>
    </row>
    <row r="106" spans="1:10" x14ac:dyDescent="0.25">
      <c r="A106" s="309">
        <v>94</v>
      </c>
      <c r="B106" s="219" t="s">
        <v>252</v>
      </c>
      <c r="C106" s="220" t="s">
        <v>253</v>
      </c>
      <c r="D106" s="333">
        <f t="shared" si="2"/>
        <v>3558</v>
      </c>
      <c r="E106" s="333">
        <v>350</v>
      </c>
      <c r="F106" s="333">
        <v>1000</v>
      </c>
      <c r="G106" s="333">
        <v>2208</v>
      </c>
      <c r="J106" s="904"/>
    </row>
    <row r="107" spans="1:10" x14ac:dyDescent="0.25">
      <c r="A107" s="309">
        <v>95</v>
      </c>
      <c r="B107" s="219" t="s">
        <v>254</v>
      </c>
      <c r="C107" s="220" t="s">
        <v>255</v>
      </c>
      <c r="D107" s="333">
        <f t="shared" si="2"/>
        <v>7146</v>
      </c>
      <c r="E107" s="333">
        <v>0</v>
      </c>
      <c r="F107" s="333">
        <v>3000</v>
      </c>
      <c r="G107" s="333">
        <v>4146</v>
      </c>
      <c r="J107" s="904"/>
    </row>
    <row r="108" spans="1:10" x14ac:dyDescent="0.25">
      <c r="A108" s="309">
        <v>96</v>
      </c>
      <c r="B108" s="222" t="s">
        <v>256</v>
      </c>
      <c r="C108" s="220" t="s">
        <v>257</v>
      </c>
      <c r="D108" s="333">
        <f t="shared" si="2"/>
        <v>8571</v>
      </c>
      <c r="E108" s="333">
        <v>1000</v>
      </c>
      <c r="F108" s="333">
        <v>2000</v>
      </c>
      <c r="G108" s="333">
        <v>5571</v>
      </c>
      <c r="J108" s="904"/>
    </row>
    <row r="109" spans="1:10" x14ac:dyDescent="0.25">
      <c r="A109" s="309">
        <v>97</v>
      </c>
      <c r="B109" s="224" t="s">
        <v>76</v>
      </c>
      <c r="C109" s="220" t="s">
        <v>77</v>
      </c>
      <c r="D109" s="333">
        <f t="shared" si="2"/>
        <v>9528</v>
      </c>
      <c r="E109" s="333">
        <v>0</v>
      </c>
      <c r="F109" s="333">
        <v>3800</v>
      </c>
      <c r="G109" s="333">
        <v>5728</v>
      </c>
      <c r="J109" s="904"/>
    </row>
    <row r="110" spans="1:10" x14ac:dyDescent="0.25">
      <c r="A110" s="309">
        <v>98</v>
      </c>
      <c r="B110" s="222" t="s">
        <v>258</v>
      </c>
      <c r="C110" s="220" t="s">
        <v>259</v>
      </c>
      <c r="D110" s="333">
        <f t="shared" si="2"/>
        <v>0</v>
      </c>
      <c r="E110" s="333">
        <v>0</v>
      </c>
      <c r="F110" s="333">
        <v>0</v>
      </c>
      <c r="G110" s="333">
        <v>0</v>
      </c>
      <c r="J110" s="904"/>
    </row>
    <row r="111" spans="1:10" x14ac:dyDescent="0.25">
      <c r="A111" s="309">
        <v>99</v>
      </c>
      <c r="B111" s="222" t="s">
        <v>260</v>
      </c>
      <c r="C111" s="220" t="s">
        <v>261</v>
      </c>
      <c r="D111" s="333">
        <f t="shared" si="2"/>
        <v>0</v>
      </c>
      <c r="E111" s="333">
        <v>0</v>
      </c>
      <c r="F111" s="333">
        <v>0</v>
      </c>
      <c r="G111" s="333">
        <v>0</v>
      </c>
      <c r="J111" s="904"/>
    </row>
    <row r="112" spans="1:10" x14ac:dyDescent="0.25">
      <c r="A112" s="309">
        <v>100</v>
      </c>
      <c r="B112" s="219" t="s">
        <v>264</v>
      </c>
      <c r="C112" s="220" t="s">
        <v>265</v>
      </c>
      <c r="D112" s="333">
        <f t="shared" si="2"/>
        <v>0</v>
      </c>
      <c r="E112" s="333">
        <v>0</v>
      </c>
      <c r="F112" s="333">
        <v>0</v>
      </c>
      <c r="G112" s="333">
        <v>0</v>
      </c>
      <c r="J112" s="904"/>
    </row>
    <row r="113" spans="1:10" x14ac:dyDescent="0.25">
      <c r="A113" s="309">
        <v>101</v>
      </c>
      <c r="B113" s="219" t="s">
        <v>266</v>
      </c>
      <c r="C113" s="220" t="s">
        <v>267</v>
      </c>
      <c r="D113" s="333">
        <f t="shared" si="2"/>
        <v>0</v>
      </c>
      <c r="E113" s="333">
        <v>0</v>
      </c>
      <c r="F113" s="333">
        <v>0</v>
      </c>
      <c r="G113" s="333">
        <v>0</v>
      </c>
      <c r="J113" s="904"/>
    </row>
    <row r="114" spans="1:10" x14ac:dyDescent="0.25">
      <c r="A114" s="309">
        <v>102</v>
      </c>
      <c r="B114" s="219" t="s">
        <v>268</v>
      </c>
      <c r="C114" s="220" t="s">
        <v>269</v>
      </c>
      <c r="D114" s="333">
        <f t="shared" si="2"/>
        <v>0</v>
      </c>
      <c r="E114" s="333">
        <v>0</v>
      </c>
      <c r="F114" s="333">
        <v>0</v>
      </c>
      <c r="G114" s="333">
        <v>0</v>
      </c>
      <c r="J114" s="904"/>
    </row>
    <row r="115" spans="1:10" x14ac:dyDescent="0.25">
      <c r="A115" s="309">
        <v>103</v>
      </c>
      <c r="B115" s="219" t="s">
        <v>270</v>
      </c>
      <c r="C115" s="220" t="s">
        <v>271</v>
      </c>
      <c r="D115" s="333">
        <f t="shared" si="2"/>
        <v>0</v>
      </c>
      <c r="E115" s="333">
        <v>0</v>
      </c>
      <c r="F115" s="333">
        <v>0</v>
      </c>
      <c r="G115" s="333">
        <v>0</v>
      </c>
      <c r="J115" s="904"/>
    </row>
    <row r="116" spans="1:10" x14ac:dyDescent="0.25">
      <c r="A116" s="309">
        <v>104</v>
      </c>
      <c r="B116" s="219" t="s">
        <v>272</v>
      </c>
      <c r="C116" s="220" t="s">
        <v>273</v>
      </c>
      <c r="D116" s="333">
        <f t="shared" si="2"/>
        <v>0</v>
      </c>
      <c r="E116" s="333">
        <v>0</v>
      </c>
      <c r="F116" s="333">
        <v>0</v>
      </c>
      <c r="G116" s="333">
        <v>0</v>
      </c>
      <c r="J116" s="904"/>
    </row>
    <row r="117" spans="1:10" x14ac:dyDescent="0.25">
      <c r="A117" s="309">
        <v>105</v>
      </c>
      <c r="B117" s="316" t="s">
        <v>274</v>
      </c>
      <c r="C117" s="313" t="s">
        <v>275</v>
      </c>
      <c r="D117" s="333">
        <f t="shared" si="2"/>
        <v>0</v>
      </c>
      <c r="E117" s="333">
        <v>0</v>
      </c>
      <c r="F117" s="333">
        <v>0</v>
      </c>
      <c r="G117" s="333">
        <v>0</v>
      </c>
      <c r="J117" s="904"/>
    </row>
    <row r="118" spans="1:10" x14ac:dyDescent="0.25">
      <c r="A118" s="309">
        <v>106</v>
      </c>
      <c r="B118" s="224" t="s">
        <v>276</v>
      </c>
      <c r="C118" s="220" t="s">
        <v>277</v>
      </c>
      <c r="D118" s="333">
        <f t="shared" si="2"/>
        <v>0</v>
      </c>
      <c r="E118" s="333">
        <v>0</v>
      </c>
      <c r="F118" s="333">
        <v>0</v>
      </c>
      <c r="G118" s="333">
        <v>0</v>
      </c>
      <c r="J118" s="904"/>
    </row>
    <row r="119" spans="1:10" x14ac:dyDescent="0.25">
      <c r="A119" s="309">
        <v>107</v>
      </c>
      <c r="B119" s="219" t="s">
        <v>278</v>
      </c>
      <c r="C119" s="220" t="s">
        <v>279</v>
      </c>
      <c r="D119" s="333">
        <f t="shared" si="2"/>
        <v>0</v>
      </c>
      <c r="E119" s="333">
        <v>0</v>
      </c>
      <c r="F119" s="333">
        <v>0</v>
      </c>
      <c r="G119" s="333">
        <v>0</v>
      </c>
      <c r="J119" s="904"/>
    </row>
    <row r="120" spans="1:10" x14ac:dyDescent="0.25">
      <c r="A120" s="309">
        <v>108</v>
      </c>
      <c r="B120" s="222" t="s">
        <v>280</v>
      </c>
      <c r="C120" s="317" t="s">
        <v>281</v>
      </c>
      <c r="D120" s="333">
        <f t="shared" si="2"/>
        <v>0</v>
      </c>
      <c r="E120" s="333">
        <v>0</v>
      </c>
      <c r="F120" s="333">
        <v>0</v>
      </c>
      <c r="G120" s="333">
        <v>0</v>
      </c>
      <c r="J120" s="904"/>
    </row>
    <row r="121" spans="1:10" x14ac:dyDescent="0.25">
      <c r="A121" s="309">
        <v>109</v>
      </c>
      <c r="B121" s="219" t="s">
        <v>282</v>
      </c>
      <c r="C121" s="220" t="s">
        <v>283</v>
      </c>
      <c r="D121" s="333">
        <f t="shared" si="2"/>
        <v>0</v>
      </c>
      <c r="E121" s="333">
        <v>0</v>
      </c>
      <c r="F121" s="333">
        <v>0</v>
      </c>
      <c r="G121" s="333">
        <v>0</v>
      </c>
      <c r="J121" s="904"/>
    </row>
    <row r="122" spans="1:10" x14ac:dyDescent="0.25">
      <c r="A122" s="309">
        <v>110</v>
      </c>
      <c r="B122" s="224" t="s">
        <v>284</v>
      </c>
      <c r="C122" s="220" t="s">
        <v>285</v>
      </c>
      <c r="D122" s="333">
        <f t="shared" si="2"/>
        <v>0</v>
      </c>
      <c r="E122" s="333">
        <v>0</v>
      </c>
      <c r="F122" s="333">
        <v>0</v>
      </c>
      <c r="G122" s="333">
        <v>0</v>
      </c>
      <c r="J122" s="904"/>
    </row>
    <row r="123" spans="1:10" x14ac:dyDescent="0.25">
      <c r="A123" s="309">
        <v>111</v>
      </c>
      <c r="B123" s="215" t="s">
        <v>780</v>
      </c>
      <c r="C123" s="216" t="s">
        <v>737</v>
      </c>
      <c r="D123" s="333">
        <f t="shared" si="2"/>
        <v>0</v>
      </c>
      <c r="E123" s="333">
        <v>0</v>
      </c>
      <c r="F123" s="333">
        <v>0</v>
      </c>
      <c r="G123" s="333">
        <v>0</v>
      </c>
      <c r="J123" s="904"/>
    </row>
    <row r="124" spans="1:10" x14ac:dyDescent="0.25">
      <c r="A124" s="309">
        <v>112</v>
      </c>
      <c r="B124" s="224" t="s">
        <v>286</v>
      </c>
      <c r="C124" s="220" t="s">
        <v>287</v>
      </c>
      <c r="D124" s="333">
        <f t="shared" si="2"/>
        <v>0</v>
      </c>
      <c r="E124" s="333">
        <v>0</v>
      </c>
      <c r="F124" s="333">
        <v>0</v>
      </c>
      <c r="G124" s="333">
        <v>0</v>
      </c>
      <c r="J124" s="904"/>
    </row>
    <row r="125" spans="1:10" x14ac:dyDescent="0.25">
      <c r="A125" s="309">
        <v>113</v>
      </c>
      <c r="B125" s="224" t="s">
        <v>288</v>
      </c>
      <c r="C125" s="216" t="s">
        <v>738</v>
      </c>
      <c r="D125" s="333">
        <f t="shared" si="2"/>
        <v>0</v>
      </c>
      <c r="E125" s="333">
        <v>0</v>
      </c>
      <c r="F125" s="333">
        <v>0</v>
      </c>
      <c r="G125" s="333">
        <v>0</v>
      </c>
      <c r="J125" s="904"/>
    </row>
    <row r="126" spans="1:10" x14ac:dyDescent="0.25">
      <c r="A126" s="309">
        <v>114</v>
      </c>
      <c r="B126" s="219" t="s">
        <v>290</v>
      </c>
      <c r="C126" s="220" t="s">
        <v>291</v>
      </c>
      <c r="D126" s="333">
        <f t="shared" si="2"/>
        <v>0</v>
      </c>
      <c r="E126" s="333">
        <v>0</v>
      </c>
      <c r="F126" s="333">
        <v>0</v>
      </c>
      <c r="G126" s="333">
        <v>0</v>
      </c>
      <c r="J126" s="904"/>
    </row>
    <row r="127" spans="1:10" x14ac:dyDescent="0.25">
      <c r="A127" s="309">
        <v>115</v>
      </c>
      <c r="B127" s="219" t="s">
        <v>292</v>
      </c>
      <c r="C127" s="311" t="s">
        <v>293</v>
      </c>
      <c r="D127" s="333">
        <f t="shared" si="2"/>
        <v>0</v>
      </c>
      <c r="E127" s="333">
        <v>0</v>
      </c>
      <c r="F127" s="333">
        <v>0</v>
      </c>
      <c r="G127" s="333">
        <v>0</v>
      </c>
      <c r="J127" s="904"/>
    </row>
    <row r="128" spans="1:10" x14ac:dyDescent="0.25">
      <c r="A128" s="309">
        <v>116</v>
      </c>
      <c r="B128" s="219" t="s">
        <v>294</v>
      </c>
      <c r="C128" s="220" t="s">
        <v>295</v>
      </c>
      <c r="D128" s="333">
        <f t="shared" si="2"/>
        <v>0</v>
      </c>
      <c r="E128" s="333">
        <v>0</v>
      </c>
      <c r="F128" s="333">
        <v>0</v>
      </c>
      <c r="G128" s="333">
        <v>0</v>
      </c>
      <c r="J128" s="904"/>
    </row>
    <row r="129" spans="1:10" x14ac:dyDescent="0.25">
      <c r="A129" s="309">
        <v>117</v>
      </c>
      <c r="B129" s="219" t="s">
        <v>70</v>
      </c>
      <c r="C129" s="220" t="s">
        <v>296</v>
      </c>
      <c r="D129" s="333">
        <f t="shared" si="2"/>
        <v>0</v>
      </c>
      <c r="E129" s="333">
        <v>0</v>
      </c>
      <c r="F129" s="333">
        <v>0</v>
      </c>
      <c r="G129" s="333">
        <v>0</v>
      </c>
      <c r="J129" s="904"/>
    </row>
    <row r="130" spans="1:10" x14ac:dyDescent="0.25">
      <c r="A130" s="309">
        <v>118</v>
      </c>
      <c r="B130" s="219" t="s">
        <v>72</v>
      </c>
      <c r="C130" s="220" t="s">
        <v>73</v>
      </c>
      <c r="D130" s="333">
        <f t="shared" si="2"/>
        <v>0</v>
      </c>
      <c r="E130" s="333">
        <v>0</v>
      </c>
      <c r="F130" s="333">
        <v>0</v>
      </c>
      <c r="G130" s="333">
        <v>0</v>
      </c>
      <c r="J130" s="904"/>
    </row>
    <row r="131" spans="1:10" x14ac:dyDescent="0.25">
      <c r="A131" s="309">
        <v>119</v>
      </c>
      <c r="B131" s="222" t="s">
        <v>34</v>
      </c>
      <c r="C131" s="220" t="s">
        <v>35</v>
      </c>
      <c r="D131" s="333">
        <f t="shared" si="2"/>
        <v>0</v>
      </c>
      <c r="E131" s="333">
        <v>0</v>
      </c>
      <c r="F131" s="333">
        <v>0</v>
      </c>
      <c r="G131" s="333">
        <v>0</v>
      </c>
      <c r="J131" s="904"/>
    </row>
    <row r="132" spans="1:10" x14ac:dyDescent="0.25">
      <c r="A132" s="309">
        <v>120</v>
      </c>
      <c r="B132" s="222" t="s">
        <v>297</v>
      </c>
      <c r="C132" s="220" t="s">
        <v>298</v>
      </c>
      <c r="D132" s="333">
        <f t="shared" si="2"/>
        <v>0</v>
      </c>
      <c r="E132" s="333">
        <v>0</v>
      </c>
      <c r="F132" s="333">
        <v>0</v>
      </c>
      <c r="G132" s="333">
        <v>0</v>
      </c>
      <c r="J132" s="904"/>
    </row>
    <row r="133" spans="1:10" x14ac:dyDescent="0.25">
      <c r="A133" s="309">
        <v>121</v>
      </c>
      <c r="B133" s="222" t="s">
        <v>299</v>
      </c>
      <c r="C133" s="220" t="s">
        <v>300</v>
      </c>
      <c r="D133" s="333">
        <f t="shared" si="2"/>
        <v>0</v>
      </c>
      <c r="E133" s="333">
        <v>0</v>
      </c>
      <c r="F133" s="333">
        <v>0</v>
      </c>
      <c r="G133" s="333">
        <v>0</v>
      </c>
      <c r="J133" s="904"/>
    </row>
    <row r="134" spans="1:10" x14ac:dyDescent="0.25">
      <c r="A134" s="309">
        <v>122</v>
      </c>
      <c r="B134" s="219" t="s">
        <v>301</v>
      </c>
      <c r="C134" s="220" t="s">
        <v>302</v>
      </c>
      <c r="D134" s="333">
        <f t="shared" si="2"/>
        <v>0</v>
      </c>
      <c r="E134" s="333">
        <v>0</v>
      </c>
      <c r="F134" s="333">
        <v>0</v>
      </c>
      <c r="G134" s="333">
        <v>0</v>
      </c>
      <c r="J134" s="904"/>
    </row>
    <row r="135" spans="1:10" x14ac:dyDescent="0.25">
      <c r="A135" s="309">
        <v>123</v>
      </c>
      <c r="B135" s="219" t="s">
        <v>16</v>
      </c>
      <c r="C135" s="220" t="s">
        <v>17</v>
      </c>
      <c r="D135" s="333">
        <f t="shared" si="2"/>
        <v>0</v>
      </c>
      <c r="E135" s="333">
        <v>0</v>
      </c>
      <c r="F135" s="333">
        <v>0</v>
      </c>
      <c r="G135" s="333">
        <v>0</v>
      </c>
      <c r="J135" s="904"/>
    </row>
    <row r="136" spans="1:10" x14ac:dyDescent="0.25">
      <c r="A136" s="309">
        <v>124</v>
      </c>
      <c r="B136" s="219" t="s">
        <v>68</v>
      </c>
      <c r="C136" s="220" t="s">
        <v>69</v>
      </c>
      <c r="D136" s="333">
        <f t="shared" si="2"/>
        <v>0</v>
      </c>
      <c r="E136" s="333">
        <v>0</v>
      </c>
      <c r="F136" s="333">
        <v>0</v>
      </c>
      <c r="G136" s="333">
        <v>0</v>
      </c>
      <c r="J136" s="904"/>
    </row>
    <row r="137" spans="1:10" x14ac:dyDescent="0.25">
      <c r="A137" s="309">
        <v>125</v>
      </c>
      <c r="B137" s="222" t="s">
        <v>60</v>
      </c>
      <c r="C137" s="220" t="s">
        <v>303</v>
      </c>
      <c r="D137" s="333">
        <f t="shared" si="2"/>
        <v>0</v>
      </c>
      <c r="E137" s="333">
        <v>0</v>
      </c>
      <c r="F137" s="333">
        <v>0</v>
      </c>
      <c r="G137" s="333">
        <v>0</v>
      </c>
      <c r="J137" s="904"/>
    </row>
    <row r="138" spans="1:10" x14ac:dyDescent="0.25">
      <c r="A138" s="309">
        <v>126</v>
      </c>
      <c r="B138" s="224" t="s">
        <v>56</v>
      </c>
      <c r="C138" s="220" t="s">
        <v>304</v>
      </c>
      <c r="D138" s="333">
        <f t="shared" si="2"/>
        <v>3315</v>
      </c>
      <c r="E138" s="333">
        <v>0</v>
      </c>
      <c r="F138" s="333">
        <v>315</v>
      </c>
      <c r="G138" s="333">
        <v>3000</v>
      </c>
      <c r="J138" s="904"/>
    </row>
    <row r="139" spans="1:10" x14ac:dyDescent="0.25">
      <c r="A139" s="309">
        <v>127</v>
      </c>
      <c r="B139" s="219" t="s">
        <v>305</v>
      </c>
      <c r="C139" s="220" t="s">
        <v>306</v>
      </c>
      <c r="D139" s="333">
        <f t="shared" ref="D139:D145" si="3">E139+F139+G139</f>
        <v>0</v>
      </c>
      <c r="E139" s="333">
        <v>0</v>
      </c>
      <c r="F139" s="333">
        <v>0</v>
      </c>
      <c r="G139" s="333">
        <v>0</v>
      </c>
      <c r="J139" s="904"/>
    </row>
    <row r="140" spans="1:10" x14ac:dyDescent="0.25">
      <c r="A140" s="309">
        <v>128</v>
      </c>
      <c r="B140" s="222" t="s">
        <v>307</v>
      </c>
      <c r="C140" s="220" t="s">
        <v>308</v>
      </c>
      <c r="D140" s="333">
        <f t="shared" si="3"/>
        <v>0</v>
      </c>
      <c r="E140" s="333">
        <v>0</v>
      </c>
      <c r="F140" s="333">
        <v>0</v>
      </c>
      <c r="G140" s="333">
        <v>0</v>
      </c>
      <c r="J140" s="904"/>
    </row>
    <row r="141" spans="1:10" x14ac:dyDescent="0.25">
      <c r="A141" s="309">
        <v>129</v>
      </c>
      <c r="B141" s="318" t="s">
        <v>309</v>
      </c>
      <c r="C141" s="319" t="s">
        <v>310</v>
      </c>
      <c r="D141" s="333">
        <f t="shared" si="3"/>
        <v>0</v>
      </c>
      <c r="E141" s="333">
        <v>0</v>
      </c>
      <c r="F141" s="333">
        <v>0</v>
      </c>
      <c r="G141" s="333">
        <v>0</v>
      </c>
      <c r="J141" s="904"/>
    </row>
    <row r="142" spans="1:10" x14ac:dyDescent="0.25">
      <c r="A142" s="309">
        <v>130</v>
      </c>
      <c r="B142" s="320" t="s">
        <v>311</v>
      </c>
      <c r="C142" s="321" t="s">
        <v>312</v>
      </c>
      <c r="D142" s="333">
        <f t="shared" si="3"/>
        <v>0</v>
      </c>
      <c r="E142" s="333">
        <v>0</v>
      </c>
      <c r="F142" s="333">
        <v>0</v>
      </c>
      <c r="G142" s="333">
        <v>0</v>
      </c>
      <c r="J142" s="904"/>
    </row>
    <row r="143" spans="1:10" x14ac:dyDescent="0.25">
      <c r="A143" s="309">
        <v>131</v>
      </c>
      <c r="B143" s="322" t="s">
        <v>313</v>
      </c>
      <c r="C143" s="323" t="s">
        <v>314</v>
      </c>
      <c r="D143" s="333">
        <f t="shared" si="3"/>
        <v>0</v>
      </c>
      <c r="E143" s="333">
        <v>0</v>
      </c>
      <c r="F143" s="333">
        <v>0</v>
      </c>
      <c r="G143" s="333">
        <v>0</v>
      </c>
      <c r="J143" s="904"/>
    </row>
    <row r="144" spans="1:10" x14ac:dyDescent="0.25">
      <c r="A144" s="309">
        <v>132</v>
      </c>
      <c r="B144" s="325" t="s">
        <v>315</v>
      </c>
      <c r="C144" s="326" t="s">
        <v>316</v>
      </c>
      <c r="D144" s="333">
        <f t="shared" si="3"/>
        <v>0</v>
      </c>
      <c r="E144" s="333">
        <v>0</v>
      </c>
      <c r="F144" s="333">
        <v>0</v>
      </c>
      <c r="G144" s="333">
        <v>0</v>
      </c>
      <c r="J144" s="904"/>
    </row>
    <row r="145" spans="1:10" x14ac:dyDescent="0.25">
      <c r="A145" s="309">
        <v>133</v>
      </c>
      <c r="B145" s="309" t="s">
        <v>317</v>
      </c>
      <c r="C145" s="327" t="s">
        <v>318</v>
      </c>
      <c r="D145" s="333">
        <f t="shared" si="3"/>
        <v>0</v>
      </c>
      <c r="E145" s="333">
        <v>0</v>
      </c>
      <c r="F145" s="333">
        <v>0</v>
      </c>
      <c r="G145" s="333">
        <v>0</v>
      </c>
      <c r="J145" s="904"/>
    </row>
    <row r="146" spans="1:10" x14ac:dyDescent="0.25">
      <c r="A146" s="309">
        <v>134</v>
      </c>
      <c r="B146" s="328" t="s">
        <v>319</v>
      </c>
      <c r="C146" s="327" t="s">
        <v>320</v>
      </c>
      <c r="D146" s="333">
        <f>E146+F146+G146</f>
        <v>0</v>
      </c>
      <c r="E146" s="687">
        <v>0</v>
      </c>
      <c r="F146" s="687">
        <v>0</v>
      </c>
      <c r="G146" s="687">
        <v>0</v>
      </c>
      <c r="J146" s="904"/>
    </row>
    <row r="147" spans="1:10" x14ac:dyDescent="0.25">
      <c r="A147" s="309">
        <v>135</v>
      </c>
      <c r="B147" s="794" t="s">
        <v>728</v>
      </c>
      <c r="C147" s="795" t="s">
        <v>729</v>
      </c>
      <c r="D147" s="687">
        <f t="shared" ref="D147" si="4">E147+F147+G147</f>
        <v>0</v>
      </c>
      <c r="E147" s="687">
        <v>0</v>
      </c>
      <c r="F147" s="687">
        <v>0</v>
      </c>
      <c r="G147" s="687">
        <v>0</v>
      </c>
      <c r="J147" s="904"/>
    </row>
    <row r="149" spans="1:10" x14ac:dyDescent="0.25">
      <c r="D149" s="335"/>
      <c r="E149" s="335"/>
      <c r="F149" s="335"/>
      <c r="G149" s="335"/>
    </row>
  </sheetData>
  <mergeCells count="14">
    <mergeCell ref="A7:C7"/>
    <mergeCell ref="A8:C8"/>
    <mergeCell ref="A9:C9"/>
    <mergeCell ref="A88:A91"/>
    <mergeCell ref="B88:B91"/>
    <mergeCell ref="A1:G1"/>
    <mergeCell ref="A2:A5"/>
    <mergeCell ref="B2:B5"/>
    <mergeCell ref="C2:C5"/>
    <mergeCell ref="D2:G2"/>
    <mergeCell ref="D3:G3"/>
    <mergeCell ref="D4:D5"/>
    <mergeCell ref="E4:E5"/>
    <mergeCell ref="F4:G4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47"/>
  <sheetViews>
    <sheetView zoomScaleNormal="10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C160" sqref="C160"/>
    </sheetView>
  </sheetViews>
  <sheetFormatPr defaultRowHeight="12" x14ac:dyDescent="0.2"/>
  <cols>
    <col min="1" max="2" width="9.140625" style="302"/>
    <col min="3" max="3" width="28" style="302" customWidth="1"/>
    <col min="4" max="4" width="11.42578125" style="302" customWidth="1"/>
    <col min="5" max="5" width="11.140625" style="302" customWidth="1"/>
    <col min="6" max="7" width="12.7109375" style="302" customWidth="1"/>
    <col min="8" max="8" width="11.42578125" style="302" customWidth="1"/>
    <col min="9" max="9" width="12.28515625" style="302" customWidth="1"/>
    <col min="10" max="10" width="14.7109375" style="302" customWidth="1"/>
    <col min="11" max="11" width="13.42578125" style="302" customWidth="1"/>
    <col min="12" max="12" width="13.85546875" style="302" customWidth="1"/>
    <col min="13" max="16384" width="9.140625" style="302"/>
  </cols>
  <sheetData>
    <row r="1" spans="1:15" ht="45.75" customHeight="1" x14ac:dyDescent="0.2">
      <c r="A1" s="1112" t="s">
        <v>433</v>
      </c>
      <c r="B1" s="1112"/>
      <c r="C1" s="1112"/>
      <c r="D1" s="1112"/>
      <c r="E1" s="1112"/>
      <c r="F1" s="1112"/>
      <c r="G1" s="1112"/>
      <c r="H1" s="1112"/>
      <c r="I1" s="1112"/>
      <c r="J1" s="1112"/>
      <c r="K1" s="1112"/>
      <c r="L1" s="1112"/>
    </row>
    <row r="2" spans="1:15" ht="21.75" customHeight="1" x14ac:dyDescent="0.2">
      <c r="A2" s="1094" t="s">
        <v>0</v>
      </c>
      <c r="B2" s="1082" t="s">
        <v>356</v>
      </c>
      <c r="C2" s="1094" t="s">
        <v>2</v>
      </c>
      <c r="D2" s="1081" t="s">
        <v>434</v>
      </c>
      <c r="E2" s="1081"/>
      <c r="F2" s="1081"/>
      <c r="G2" s="1081"/>
      <c r="H2" s="1081"/>
      <c r="I2" s="1081"/>
      <c r="J2" s="1081"/>
      <c r="K2" s="1081"/>
      <c r="L2" s="1081"/>
    </row>
    <row r="3" spans="1:15" ht="24" customHeight="1" x14ac:dyDescent="0.2">
      <c r="A3" s="1086"/>
      <c r="B3" s="1083"/>
      <c r="C3" s="1086"/>
      <c r="D3" s="1094" t="s">
        <v>435</v>
      </c>
      <c r="E3" s="1088" t="s">
        <v>436</v>
      </c>
      <c r="F3" s="1088"/>
      <c r="G3" s="1088"/>
      <c r="H3" s="1088" t="s">
        <v>437</v>
      </c>
      <c r="I3" s="1088"/>
      <c r="J3" s="1088"/>
      <c r="K3" s="1088"/>
      <c r="L3" s="1090" t="s">
        <v>438</v>
      </c>
    </row>
    <row r="4" spans="1:15" ht="42" customHeight="1" x14ac:dyDescent="0.2">
      <c r="A4" s="1086"/>
      <c r="B4" s="1083"/>
      <c r="C4" s="1086"/>
      <c r="D4" s="1086"/>
      <c r="E4" s="1090" t="s">
        <v>101</v>
      </c>
      <c r="F4" s="1071" t="s">
        <v>412</v>
      </c>
      <c r="G4" s="1072"/>
      <c r="H4" s="1090" t="s">
        <v>101</v>
      </c>
      <c r="I4" s="1094" t="s">
        <v>439</v>
      </c>
      <c r="J4" s="1088" t="s">
        <v>103</v>
      </c>
      <c r="K4" s="1088"/>
      <c r="L4" s="1113"/>
    </row>
    <row r="5" spans="1:15" ht="24" x14ac:dyDescent="0.2">
      <c r="A5" s="1087"/>
      <c r="B5" s="1084"/>
      <c r="C5" s="1087"/>
      <c r="D5" s="1087"/>
      <c r="E5" s="1091"/>
      <c r="F5" s="892" t="s">
        <v>354</v>
      </c>
      <c r="G5" s="893" t="s">
        <v>353</v>
      </c>
      <c r="H5" s="1091"/>
      <c r="I5" s="1087"/>
      <c r="J5" s="891" t="s">
        <v>354</v>
      </c>
      <c r="K5" s="893" t="s">
        <v>353</v>
      </c>
      <c r="L5" s="1091"/>
    </row>
    <row r="6" spans="1:15" s="307" customFormat="1" ht="11.25" x14ac:dyDescent="0.2">
      <c r="A6" s="303">
        <v>1</v>
      </c>
      <c r="B6" s="303">
        <v>2</v>
      </c>
      <c r="C6" s="303">
        <v>3</v>
      </c>
      <c r="D6" s="304">
        <v>4</v>
      </c>
      <c r="E6" s="304">
        <v>5</v>
      </c>
      <c r="F6" s="304">
        <v>6</v>
      </c>
      <c r="G6" s="304">
        <v>7</v>
      </c>
      <c r="H6" s="304">
        <v>8</v>
      </c>
      <c r="I6" s="305">
        <v>9</v>
      </c>
      <c r="J6" s="305"/>
      <c r="K6" s="305">
        <v>10</v>
      </c>
      <c r="L6" s="306">
        <v>11</v>
      </c>
    </row>
    <row r="7" spans="1:15" s="307" customFormat="1" x14ac:dyDescent="0.2">
      <c r="A7" s="1001" t="s">
        <v>331</v>
      </c>
      <c r="B7" s="1001"/>
      <c r="C7" s="1001"/>
      <c r="D7" s="308">
        <f>D9+D8</f>
        <v>2295884</v>
      </c>
      <c r="E7" s="308">
        <f>F7+G7</f>
        <v>64583</v>
      </c>
      <c r="F7" s="308">
        <f>F8+F9</f>
        <v>3015</v>
      </c>
      <c r="G7" s="308">
        <f>G8+G9</f>
        <v>61568</v>
      </c>
      <c r="H7" s="308">
        <f>I7+K7+J7</f>
        <v>1997953</v>
      </c>
      <c r="I7" s="308">
        <f t="shared" ref="I7:L7" si="0">I9+I8</f>
        <v>281965</v>
      </c>
      <c r="J7" s="308">
        <f t="shared" si="0"/>
        <v>130831</v>
      </c>
      <c r="K7" s="308">
        <f t="shared" si="0"/>
        <v>1585157</v>
      </c>
      <c r="L7" s="308">
        <f t="shared" si="0"/>
        <v>233348</v>
      </c>
      <c r="O7" s="852"/>
    </row>
    <row r="8" spans="1:15" s="307" customFormat="1" ht="12" customHeight="1" x14ac:dyDescent="0.2">
      <c r="A8" s="1005" t="s">
        <v>105</v>
      </c>
      <c r="B8" s="1006"/>
      <c r="C8" s="1007"/>
      <c r="D8" s="305"/>
      <c r="E8" s="305">
        <f>F8+G8</f>
        <v>0</v>
      </c>
      <c r="F8" s="305"/>
      <c r="G8" s="305"/>
      <c r="H8" s="305"/>
      <c r="I8" s="305">
        <v>0</v>
      </c>
      <c r="J8" s="305"/>
      <c r="K8" s="305">
        <v>0</v>
      </c>
      <c r="L8" s="304">
        <v>0</v>
      </c>
    </row>
    <row r="9" spans="1:15" s="307" customFormat="1" ht="12" customHeight="1" x14ac:dyDescent="0.2">
      <c r="A9" s="1005" t="s">
        <v>108</v>
      </c>
      <c r="B9" s="1006"/>
      <c r="C9" s="1007"/>
      <c r="D9" s="308">
        <f t="shared" ref="D9:L9" si="1">SUM(D10:D145)-D88</f>
        <v>2295884</v>
      </c>
      <c r="E9" s="308">
        <f t="shared" si="1"/>
        <v>64583</v>
      </c>
      <c r="F9" s="308">
        <f t="shared" si="1"/>
        <v>3015</v>
      </c>
      <c r="G9" s="308">
        <f t="shared" si="1"/>
        <v>61568</v>
      </c>
      <c r="H9" s="308">
        <f t="shared" si="1"/>
        <v>1997953</v>
      </c>
      <c r="I9" s="308">
        <f t="shared" si="1"/>
        <v>281965</v>
      </c>
      <c r="J9" s="308">
        <f t="shared" si="1"/>
        <v>130831</v>
      </c>
      <c r="K9" s="308">
        <f t="shared" si="1"/>
        <v>1585157</v>
      </c>
      <c r="L9" s="308">
        <f t="shared" si="1"/>
        <v>233348</v>
      </c>
    </row>
    <row r="10" spans="1:15" x14ac:dyDescent="0.2">
      <c r="A10" s="309">
        <v>1</v>
      </c>
      <c r="B10" s="222" t="s">
        <v>109</v>
      </c>
      <c r="C10" s="220" t="s">
        <v>110</v>
      </c>
      <c r="D10" s="305">
        <f>E10+H10+L10</f>
        <v>5763</v>
      </c>
      <c r="E10" s="305">
        <f>F10+G10</f>
        <v>0</v>
      </c>
      <c r="F10" s="305">
        <v>0</v>
      </c>
      <c r="G10" s="305">
        <v>0</v>
      </c>
      <c r="H10" s="305">
        <f>I10+J10+K10</f>
        <v>5763</v>
      </c>
      <c r="I10" s="310">
        <v>310</v>
      </c>
      <c r="J10" s="310">
        <v>100</v>
      </c>
      <c r="K10" s="310">
        <v>5353</v>
      </c>
      <c r="L10" s="310">
        <v>0</v>
      </c>
      <c r="O10" s="339"/>
    </row>
    <row r="11" spans="1:15" x14ac:dyDescent="0.2">
      <c r="A11" s="309">
        <v>2</v>
      </c>
      <c r="B11" s="224" t="s">
        <v>111</v>
      </c>
      <c r="C11" s="220" t="s">
        <v>112</v>
      </c>
      <c r="D11" s="305">
        <f t="shared" ref="D11:D74" si="2">E11+H11+L11</f>
        <v>4000</v>
      </c>
      <c r="E11" s="305">
        <f t="shared" ref="E11:E74" si="3">F11+G11</f>
        <v>0</v>
      </c>
      <c r="F11" s="305">
        <v>0</v>
      </c>
      <c r="G11" s="305">
        <v>0</v>
      </c>
      <c r="H11" s="305">
        <f t="shared" ref="H11:H71" si="4">I11+J11+K11</f>
        <v>4000</v>
      </c>
      <c r="I11" s="310">
        <v>400</v>
      </c>
      <c r="J11" s="310">
        <v>200</v>
      </c>
      <c r="K11" s="310">
        <v>3400</v>
      </c>
      <c r="L11" s="310">
        <v>0</v>
      </c>
      <c r="O11" s="339"/>
    </row>
    <row r="12" spans="1:15" x14ac:dyDescent="0.2">
      <c r="A12" s="309">
        <v>3</v>
      </c>
      <c r="B12" s="219" t="s">
        <v>80</v>
      </c>
      <c r="C12" s="220" t="s">
        <v>81</v>
      </c>
      <c r="D12" s="305">
        <f t="shared" si="2"/>
        <v>27426</v>
      </c>
      <c r="E12" s="305">
        <f t="shared" si="3"/>
        <v>0</v>
      </c>
      <c r="F12" s="305">
        <v>0</v>
      </c>
      <c r="G12" s="305">
        <v>0</v>
      </c>
      <c r="H12" s="305">
        <f t="shared" si="4"/>
        <v>18420</v>
      </c>
      <c r="I12" s="310">
        <v>1620</v>
      </c>
      <c r="J12" s="310">
        <v>0</v>
      </c>
      <c r="K12" s="310">
        <v>16800</v>
      </c>
      <c r="L12" s="310">
        <v>9006</v>
      </c>
      <c r="O12" s="339"/>
    </row>
    <row r="13" spans="1:15" x14ac:dyDescent="0.2">
      <c r="A13" s="309">
        <v>4</v>
      </c>
      <c r="B13" s="222" t="s">
        <v>113</v>
      </c>
      <c r="C13" s="220" t="s">
        <v>114</v>
      </c>
      <c r="D13" s="305">
        <f t="shared" si="2"/>
        <v>8700</v>
      </c>
      <c r="E13" s="305">
        <f t="shared" si="3"/>
        <v>0</v>
      </c>
      <c r="F13" s="305">
        <v>0</v>
      </c>
      <c r="G13" s="305">
        <v>0</v>
      </c>
      <c r="H13" s="305">
        <f t="shared" si="4"/>
        <v>8700</v>
      </c>
      <c r="I13" s="310">
        <v>1382</v>
      </c>
      <c r="J13" s="310">
        <v>109</v>
      </c>
      <c r="K13" s="310">
        <v>7209</v>
      </c>
      <c r="L13" s="310">
        <v>0</v>
      </c>
      <c r="O13" s="339"/>
    </row>
    <row r="14" spans="1:15" ht="18.75" customHeight="1" x14ac:dyDescent="0.2">
      <c r="A14" s="309">
        <v>5</v>
      </c>
      <c r="B14" s="222" t="s">
        <v>115</v>
      </c>
      <c r="C14" s="220" t="s">
        <v>116</v>
      </c>
      <c r="D14" s="305">
        <f t="shared" si="2"/>
        <v>7120</v>
      </c>
      <c r="E14" s="305">
        <f t="shared" si="3"/>
        <v>0</v>
      </c>
      <c r="F14" s="305">
        <v>0</v>
      </c>
      <c r="G14" s="305">
        <v>0</v>
      </c>
      <c r="H14" s="305">
        <f t="shared" si="4"/>
        <v>7120</v>
      </c>
      <c r="I14" s="310">
        <v>3420</v>
      </c>
      <c r="J14" s="310">
        <v>750</v>
      </c>
      <c r="K14" s="310">
        <v>2950</v>
      </c>
      <c r="L14" s="310">
        <v>0</v>
      </c>
      <c r="O14" s="339"/>
    </row>
    <row r="15" spans="1:15" x14ac:dyDescent="0.2">
      <c r="A15" s="309">
        <v>6</v>
      </c>
      <c r="B15" s="219" t="s">
        <v>117</v>
      </c>
      <c r="C15" s="220" t="s">
        <v>118</v>
      </c>
      <c r="D15" s="305">
        <f t="shared" si="2"/>
        <v>114489</v>
      </c>
      <c r="E15" s="305">
        <f t="shared" si="3"/>
        <v>0</v>
      </c>
      <c r="F15" s="305">
        <v>0</v>
      </c>
      <c r="G15" s="305">
        <v>0</v>
      </c>
      <c r="H15" s="305">
        <f t="shared" si="4"/>
        <v>98560</v>
      </c>
      <c r="I15" s="310">
        <v>15962</v>
      </c>
      <c r="J15" s="310">
        <v>7655</v>
      </c>
      <c r="K15" s="310">
        <v>74943</v>
      </c>
      <c r="L15" s="310">
        <v>15929</v>
      </c>
      <c r="O15" s="339"/>
    </row>
    <row r="16" spans="1:15" x14ac:dyDescent="0.2">
      <c r="A16" s="309">
        <v>7</v>
      </c>
      <c r="B16" s="222" t="s">
        <v>20</v>
      </c>
      <c r="C16" s="220" t="s">
        <v>21</v>
      </c>
      <c r="D16" s="305">
        <f t="shared" si="2"/>
        <v>34713</v>
      </c>
      <c r="E16" s="305">
        <f t="shared" si="3"/>
        <v>0</v>
      </c>
      <c r="F16" s="305">
        <v>0</v>
      </c>
      <c r="G16" s="305">
        <v>0</v>
      </c>
      <c r="H16" s="305">
        <f t="shared" si="4"/>
        <v>26700</v>
      </c>
      <c r="I16" s="310">
        <v>3911</v>
      </c>
      <c r="J16" s="310">
        <v>1929</v>
      </c>
      <c r="K16" s="310">
        <v>20860</v>
      </c>
      <c r="L16" s="310">
        <v>8013</v>
      </c>
      <c r="O16" s="339"/>
    </row>
    <row r="17" spans="1:15" x14ac:dyDescent="0.2">
      <c r="A17" s="309">
        <v>8</v>
      </c>
      <c r="B17" s="219" t="s">
        <v>119</v>
      </c>
      <c r="C17" s="220" t="s">
        <v>120</v>
      </c>
      <c r="D17" s="305">
        <f t="shared" si="2"/>
        <v>11639</v>
      </c>
      <c r="E17" s="305">
        <f t="shared" si="3"/>
        <v>0</v>
      </c>
      <c r="F17" s="305">
        <v>0</v>
      </c>
      <c r="G17" s="305">
        <v>0</v>
      </c>
      <c r="H17" s="305">
        <f t="shared" si="4"/>
        <v>11639</v>
      </c>
      <c r="I17" s="310">
        <v>3427</v>
      </c>
      <c r="J17" s="310">
        <v>1603</v>
      </c>
      <c r="K17" s="310">
        <v>6609</v>
      </c>
      <c r="L17" s="310">
        <v>0</v>
      </c>
      <c r="O17" s="339"/>
    </row>
    <row r="18" spans="1:15" x14ac:dyDescent="0.2">
      <c r="A18" s="309">
        <v>9</v>
      </c>
      <c r="B18" s="219" t="s">
        <v>121</v>
      </c>
      <c r="C18" s="220" t="s">
        <v>122</v>
      </c>
      <c r="D18" s="305">
        <f t="shared" si="2"/>
        <v>10663</v>
      </c>
      <c r="E18" s="305">
        <f t="shared" si="3"/>
        <v>0</v>
      </c>
      <c r="F18" s="305">
        <v>0</v>
      </c>
      <c r="G18" s="305">
        <v>0</v>
      </c>
      <c r="H18" s="305">
        <f t="shared" si="4"/>
        <v>10663</v>
      </c>
      <c r="I18" s="310">
        <v>847</v>
      </c>
      <c r="J18" s="310">
        <v>269</v>
      </c>
      <c r="K18" s="310">
        <v>9547</v>
      </c>
      <c r="L18" s="310">
        <v>0</v>
      </c>
      <c r="O18" s="339"/>
    </row>
    <row r="19" spans="1:15" x14ac:dyDescent="0.2">
      <c r="A19" s="309">
        <v>10</v>
      </c>
      <c r="B19" s="219" t="s">
        <v>123</v>
      </c>
      <c r="C19" s="220" t="s">
        <v>124</v>
      </c>
      <c r="D19" s="305">
        <f t="shared" si="2"/>
        <v>9626</v>
      </c>
      <c r="E19" s="305">
        <f t="shared" si="3"/>
        <v>0</v>
      </c>
      <c r="F19" s="305">
        <v>0</v>
      </c>
      <c r="G19" s="305">
        <v>0</v>
      </c>
      <c r="H19" s="305">
        <f t="shared" si="4"/>
        <v>9626</v>
      </c>
      <c r="I19" s="310">
        <v>313</v>
      </c>
      <c r="J19" s="310">
        <v>3243</v>
      </c>
      <c r="K19" s="310">
        <v>6070</v>
      </c>
      <c r="L19" s="310">
        <v>0</v>
      </c>
      <c r="O19" s="339"/>
    </row>
    <row r="20" spans="1:15" x14ac:dyDescent="0.2">
      <c r="A20" s="309">
        <v>11</v>
      </c>
      <c r="B20" s="219" t="s">
        <v>125</v>
      </c>
      <c r="C20" s="220" t="s">
        <v>126</v>
      </c>
      <c r="D20" s="305">
        <f t="shared" si="2"/>
        <v>7703</v>
      </c>
      <c r="E20" s="305">
        <f t="shared" si="3"/>
        <v>0</v>
      </c>
      <c r="F20" s="305">
        <v>0</v>
      </c>
      <c r="G20" s="305">
        <v>0</v>
      </c>
      <c r="H20" s="305">
        <f t="shared" si="4"/>
        <v>7703</v>
      </c>
      <c r="I20" s="310">
        <v>1824</v>
      </c>
      <c r="J20" s="310">
        <v>1356</v>
      </c>
      <c r="K20" s="310">
        <v>4523</v>
      </c>
      <c r="L20" s="310">
        <v>0</v>
      </c>
      <c r="O20" s="339"/>
    </row>
    <row r="21" spans="1:15" x14ac:dyDescent="0.2">
      <c r="A21" s="309">
        <v>12</v>
      </c>
      <c r="B21" s="219" t="s">
        <v>127</v>
      </c>
      <c r="C21" s="220" t="s">
        <v>128</v>
      </c>
      <c r="D21" s="305">
        <f t="shared" si="2"/>
        <v>25572</v>
      </c>
      <c r="E21" s="305">
        <f t="shared" si="3"/>
        <v>0</v>
      </c>
      <c r="F21" s="305">
        <v>0</v>
      </c>
      <c r="G21" s="305">
        <v>0</v>
      </c>
      <c r="H21" s="305">
        <f t="shared" si="4"/>
        <v>25572</v>
      </c>
      <c r="I21" s="310">
        <v>1160</v>
      </c>
      <c r="J21" s="310">
        <v>2800</v>
      </c>
      <c r="K21" s="310">
        <v>21612</v>
      </c>
      <c r="L21" s="310">
        <v>0</v>
      </c>
      <c r="O21" s="339"/>
    </row>
    <row r="22" spans="1:15" x14ac:dyDescent="0.2">
      <c r="A22" s="309">
        <v>13</v>
      </c>
      <c r="B22" s="219" t="s">
        <v>129</v>
      </c>
      <c r="C22" s="220" t="s">
        <v>130</v>
      </c>
      <c r="D22" s="305">
        <f t="shared" si="2"/>
        <v>0</v>
      </c>
      <c r="E22" s="305">
        <f t="shared" si="3"/>
        <v>0</v>
      </c>
      <c r="F22" s="305">
        <v>0</v>
      </c>
      <c r="G22" s="305">
        <v>0</v>
      </c>
      <c r="H22" s="305">
        <f t="shared" si="4"/>
        <v>0</v>
      </c>
      <c r="I22" s="310">
        <v>0</v>
      </c>
      <c r="J22" s="310">
        <v>0</v>
      </c>
      <c r="K22" s="310">
        <v>0</v>
      </c>
      <c r="L22" s="310">
        <v>0</v>
      </c>
      <c r="O22" s="339"/>
    </row>
    <row r="23" spans="1:15" x14ac:dyDescent="0.2">
      <c r="A23" s="309">
        <v>14</v>
      </c>
      <c r="B23" s="219" t="s">
        <v>131</v>
      </c>
      <c r="C23" s="220" t="s">
        <v>132</v>
      </c>
      <c r="D23" s="305">
        <f t="shared" si="2"/>
        <v>14045</v>
      </c>
      <c r="E23" s="305">
        <f t="shared" si="3"/>
        <v>0</v>
      </c>
      <c r="F23" s="305">
        <v>0</v>
      </c>
      <c r="G23" s="305">
        <v>0</v>
      </c>
      <c r="H23" s="305">
        <f t="shared" si="4"/>
        <v>14045</v>
      </c>
      <c r="I23" s="310">
        <v>1957</v>
      </c>
      <c r="J23" s="310">
        <v>1007</v>
      </c>
      <c r="K23" s="310">
        <v>11081</v>
      </c>
      <c r="L23" s="310">
        <v>0</v>
      </c>
      <c r="O23" s="339"/>
    </row>
    <row r="24" spans="1:15" x14ac:dyDescent="0.2">
      <c r="A24" s="309">
        <v>15</v>
      </c>
      <c r="B24" s="219" t="s">
        <v>133</v>
      </c>
      <c r="C24" s="220" t="s">
        <v>134</v>
      </c>
      <c r="D24" s="305">
        <f t="shared" si="2"/>
        <v>33427</v>
      </c>
      <c r="E24" s="305">
        <f t="shared" si="3"/>
        <v>0</v>
      </c>
      <c r="F24" s="305">
        <v>0</v>
      </c>
      <c r="G24" s="305">
        <v>0</v>
      </c>
      <c r="H24" s="305">
        <f t="shared" si="4"/>
        <v>33427</v>
      </c>
      <c r="I24" s="310">
        <v>4031</v>
      </c>
      <c r="J24" s="310">
        <v>11112</v>
      </c>
      <c r="K24" s="310">
        <v>18284</v>
      </c>
      <c r="L24" s="310">
        <v>0</v>
      </c>
      <c r="O24" s="339"/>
    </row>
    <row r="25" spans="1:15" x14ac:dyDescent="0.2">
      <c r="A25" s="309">
        <v>16</v>
      </c>
      <c r="B25" s="219" t="s">
        <v>135</v>
      </c>
      <c r="C25" s="220" t="s">
        <v>136</v>
      </c>
      <c r="D25" s="305">
        <f t="shared" si="2"/>
        <v>35000</v>
      </c>
      <c r="E25" s="305">
        <f t="shared" si="3"/>
        <v>0</v>
      </c>
      <c r="F25" s="305">
        <v>0</v>
      </c>
      <c r="G25" s="305">
        <v>0</v>
      </c>
      <c r="H25" s="305">
        <f t="shared" si="4"/>
        <v>35000</v>
      </c>
      <c r="I25" s="310">
        <v>4455</v>
      </c>
      <c r="J25" s="310">
        <v>7305</v>
      </c>
      <c r="K25" s="310">
        <v>23240</v>
      </c>
      <c r="L25" s="310">
        <v>0</v>
      </c>
      <c r="O25" s="339"/>
    </row>
    <row r="26" spans="1:15" x14ac:dyDescent="0.2">
      <c r="A26" s="309">
        <v>17</v>
      </c>
      <c r="B26" s="219" t="s">
        <v>30</v>
      </c>
      <c r="C26" s="220" t="s">
        <v>31</v>
      </c>
      <c r="D26" s="305">
        <f t="shared" si="2"/>
        <v>63006</v>
      </c>
      <c r="E26" s="305">
        <f t="shared" si="3"/>
        <v>0</v>
      </c>
      <c r="F26" s="305">
        <v>0</v>
      </c>
      <c r="G26" s="305">
        <v>0</v>
      </c>
      <c r="H26" s="305">
        <f t="shared" si="4"/>
        <v>49103</v>
      </c>
      <c r="I26" s="310">
        <v>11490</v>
      </c>
      <c r="J26" s="310">
        <v>4050</v>
      </c>
      <c r="K26" s="310">
        <v>33563</v>
      </c>
      <c r="L26" s="310">
        <v>13903</v>
      </c>
      <c r="O26" s="339"/>
    </row>
    <row r="27" spans="1:15" x14ac:dyDescent="0.2">
      <c r="A27" s="309">
        <v>18</v>
      </c>
      <c r="B27" s="222" t="s">
        <v>137</v>
      </c>
      <c r="C27" s="220" t="s">
        <v>138</v>
      </c>
      <c r="D27" s="305">
        <f t="shared" si="2"/>
        <v>7300</v>
      </c>
      <c r="E27" s="305">
        <f t="shared" si="3"/>
        <v>0</v>
      </c>
      <c r="F27" s="305">
        <v>0</v>
      </c>
      <c r="G27" s="305">
        <v>0</v>
      </c>
      <c r="H27" s="305">
        <f t="shared" si="4"/>
        <v>7300</v>
      </c>
      <c r="I27" s="310">
        <v>1362</v>
      </c>
      <c r="J27" s="310">
        <v>20</v>
      </c>
      <c r="K27" s="310">
        <v>5918</v>
      </c>
      <c r="L27" s="310">
        <v>0</v>
      </c>
      <c r="O27" s="339"/>
    </row>
    <row r="28" spans="1:15" x14ac:dyDescent="0.2">
      <c r="A28" s="309">
        <v>19</v>
      </c>
      <c r="B28" s="222" t="s">
        <v>139</v>
      </c>
      <c r="C28" s="220" t="s">
        <v>140</v>
      </c>
      <c r="D28" s="305">
        <f t="shared" si="2"/>
        <v>8400</v>
      </c>
      <c r="E28" s="305">
        <f t="shared" si="3"/>
        <v>0</v>
      </c>
      <c r="F28" s="305">
        <v>0</v>
      </c>
      <c r="G28" s="305">
        <v>0</v>
      </c>
      <c r="H28" s="305">
        <f t="shared" si="4"/>
        <v>8400</v>
      </c>
      <c r="I28" s="310">
        <v>3385</v>
      </c>
      <c r="J28" s="310">
        <v>550</v>
      </c>
      <c r="K28" s="310">
        <v>4465</v>
      </c>
      <c r="L28" s="310">
        <v>0</v>
      </c>
      <c r="O28" s="339"/>
    </row>
    <row r="29" spans="1:15" x14ac:dyDescent="0.2">
      <c r="A29" s="309">
        <v>20</v>
      </c>
      <c r="B29" s="222" t="s">
        <v>84</v>
      </c>
      <c r="C29" s="220" t="s">
        <v>85</v>
      </c>
      <c r="D29" s="305">
        <f t="shared" si="2"/>
        <v>44053</v>
      </c>
      <c r="E29" s="305">
        <f t="shared" si="3"/>
        <v>0</v>
      </c>
      <c r="F29" s="305">
        <v>0</v>
      </c>
      <c r="G29" s="305">
        <v>0</v>
      </c>
      <c r="H29" s="305">
        <f t="shared" si="4"/>
        <v>44053</v>
      </c>
      <c r="I29" s="310">
        <v>7751</v>
      </c>
      <c r="J29" s="310">
        <v>4729</v>
      </c>
      <c r="K29" s="310">
        <v>31573</v>
      </c>
      <c r="L29" s="310">
        <v>0</v>
      </c>
      <c r="O29" s="339"/>
    </row>
    <row r="30" spans="1:15" x14ac:dyDescent="0.2">
      <c r="A30" s="309">
        <v>21</v>
      </c>
      <c r="B30" s="222" t="s">
        <v>141</v>
      </c>
      <c r="C30" s="220" t="s">
        <v>142</v>
      </c>
      <c r="D30" s="305">
        <f t="shared" si="2"/>
        <v>42899</v>
      </c>
      <c r="E30" s="305">
        <f t="shared" si="3"/>
        <v>0</v>
      </c>
      <c r="F30" s="305">
        <v>0</v>
      </c>
      <c r="G30" s="305">
        <v>0</v>
      </c>
      <c r="H30" s="305">
        <f t="shared" si="4"/>
        <v>33886</v>
      </c>
      <c r="I30" s="310">
        <v>4375</v>
      </c>
      <c r="J30" s="310">
        <v>1996</v>
      </c>
      <c r="K30" s="310">
        <v>27515</v>
      </c>
      <c r="L30" s="310">
        <v>9013</v>
      </c>
      <c r="O30" s="339"/>
    </row>
    <row r="31" spans="1:15" x14ac:dyDescent="0.2">
      <c r="A31" s="309">
        <v>22</v>
      </c>
      <c r="B31" s="219" t="s">
        <v>143</v>
      </c>
      <c r="C31" s="220" t="s">
        <v>144</v>
      </c>
      <c r="D31" s="305">
        <f t="shared" si="2"/>
        <v>8141</v>
      </c>
      <c r="E31" s="305">
        <f t="shared" si="3"/>
        <v>0</v>
      </c>
      <c r="F31" s="305">
        <v>0</v>
      </c>
      <c r="G31" s="305">
        <v>0</v>
      </c>
      <c r="H31" s="305">
        <f t="shared" si="4"/>
        <v>8141</v>
      </c>
      <c r="I31" s="310">
        <v>2125</v>
      </c>
      <c r="J31" s="310">
        <v>840</v>
      </c>
      <c r="K31" s="310">
        <v>5176</v>
      </c>
      <c r="L31" s="310">
        <v>0</v>
      </c>
      <c r="O31" s="339"/>
    </row>
    <row r="32" spans="1:15" x14ac:dyDescent="0.2">
      <c r="A32" s="309">
        <v>23</v>
      </c>
      <c r="B32" s="219" t="s">
        <v>145</v>
      </c>
      <c r="C32" s="220" t="s">
        <v>146</v>
      </c>
      <c r="D32" s="305">
        <f t="shared" si="2"/>
        <v>0</v>
      </c>
      <c r="E32" s="305">
        <f t="shared" si="3"/>
        <v>0</v>
      </c>
      <c r="F32" s="305">
        <v>0</v>
      </c>
      <c r="G32" s="305">
        <v>0</v>
      </c>
      <c r="H32" s="305">
        <f t="shared" si="4"/>
        <v>0</v>
      </c>
      <c r="I32" s="310">
        <v>0</v>
      </c>
      <c r="J32" s="310">
        <v>0</v>
      </c>
      <c r="K32" s="310">
        <v>0</v>
      </c>
      <c r="L32" s="310">
        <v>0</v>
      </c>
      <c r="O32" s="339"/>
    </row>
    <row r="33" spans="1:15" ht="24" x14ac:dyDescent="0.2">
      <c r="A33" s="309">
        <v>24</v>
      </c>
      <c r="B33" s="219" t="s">
        <v>147</v>
      </c>
      <c r="C33" s="220" t="s">
        <v>148</v>
      </c>
      <c r="D33" s="305">
        <f t="shared" si="2"/>
        <v>0</v>
      </c>
      <c r="E33" s="305">
        <f t="shared" si="3"/>
        <v>0</v>
      </c>
      <c r="F33" s="305">
        <v>0</v>
      </c>
      <c r="G33" s="305">
        <v>0</v>
      </c>
      <c r="H33" s="305">
        <f t="shared" si="4"/>
        <v>0</v>
      </c>
      <c r="I33" s="310">
        <v>0</v>
      </c>
      <c r="J33" s="310">
        <v>0</v>
      </c>
      <c r="K33" s="310">
        <v>0</v>
      </c>
      <c r="L33" s="310">
        <v>0</v>
      </c>
      <c r="O33" s="339"/>
    </row>
    <row r="34" spans="1:15" x14ac:dyDescent="0.2">
      <c r="A34" s="309">
        <v>25</v>
      </c>
      <c r="B34" s="222" t="s">
        <v>149</v>
      </c>
      <c r="C34" s="220" t="s">
        <v>150</v>
      </c>
      <c r="D34" s="305">
        <f t="shared" si="2"/>
        <v>66349</v>
      </c>
      <c r="E34" s="305">
        <f t="shared" si="3"/>
        <v>0</v>
      </c>
      <c r="F34" s="305">
        <v>0</v>
      </c>
      <c r="G34" s="305">
        <v>0</v>
      </c>
      <c r="H34" s="305">
        <f t="shared" si="4"/>
        <v>46100</v>
      </c>
      <c r="I34" s="310">
        <v>14746</v>
      </c>
      <c r="J34" s="310">
        <v>1296</v>
      </c>
      <c r="K34" s="310">
        <v>30058</v>
      </c>
      <c r="L34" s="310">
        <v>20249</v>
      </c>
      <c r="O34" s="339"/>
    </row>
    <row r="35" spans="1:15" x14ac:dyDescent="0.2">
      <c r="A35" s="309">
        <v>26</v>
      </c>
      <c r="B35" s="219" t="s">
        <v>151</v>
      </c>
      <c r="C35" s="220" t="s">
        <v>152</v>
      </c>
      <c r="D35" s="305">
        <f t="shared" si="2"/>
        <v>64982</v>
      </c>
      <c r="E35" s="305">
        <f t="shared" si="3"/>
        <v>20</v>
      </c>
      <c r="F35" s="305">
        <v>20</v>
      </c>
      <c r="G35" s="305">
        <v>0</v>
      </c>
      <c r="H35" s="305">
        <f t="shared" si="4"/>
        <v>58980</v>
      </c>
      <c r="I35" s="310">
        <v>200</v>
      </c>
      <c r="J35" s="310">
        <v>0</v>
      </c>
      <c r="K35" s="310">
        <v>58780</v>
      </c>
      <c r="L35" s="310">
        <v>5982</v>
      </c>
      <c r="O35" s="339"/>
    </row>
    <row r="36" spans="1:15" x14ac:dyDescent="0.2">
      <c r="A36" s="309">
        <v>27</v>
      </c>
      <c r="B36" s="224" t="s">
        <v>153</v>
      </c>
      <c r="C36" s="220" t="s">
        <v>154</v>
      </c>
      <c r="D36" s="305">
        <f t="shared" si="2"/>
        <v>0</v>
      </c>
      <c r="E36" s="305">
        <f t="shared" si="3"/>
        <v>0</v>
      </c>
      <c r="F36" s="305">
        <v>0</v>
      </c>
      <c r="G36" s="305">
        <v>0</v>
      </c>
      <c r="H36" s="305">
        <f t="shared" si="4"/>
        <v>0</v>
      </c>
      <c r="I36" s="310">
        <v>0</v>
      </c>
      <c r="J36" s="310">
        <v>0</v>
      </c>
      <c r="K36" s="310">
        <v>0</v>
      </c>
      <c r="L36" s="310">
        <v>0</v>
      </c>
      <c r="O36" s="339"/>
    </row>
    <row r="37" spans="1:15" x14ac:dyDescent="0.2">
      <c r="A37" s="309">
        <v>28</v>
      </c>
      <c r="B37" s="222" t="s">
        <v>155</v>
      </c>
      <c r="C37" s="311" t="s">
        <v>156</v>
      </c>
      <c r="D37" s="305">
        <f t="shared" si="2"/>
        <v>0</v>
      </c>
      <c r="E37" s="305">
        <f t="shared" si="3"/>
        <v>0</v>
      </c>
      <c r="F37" s="305">
        <v>0</v>
      </c>
      <c r="G37" s="305">
        <v>0</v>
      </c>
      <c r="H37" s="305">
        <f t="shared" si="4"/>
        <v>0</v>
      </c>
      <c r="I37" s="310">
        <v>0</v>
      </c>
      <c r="J37" s="310">
        <v>0</v>
      </c>
      <c r="K37" s="310">
        <v>0</v>
      </c>
      <c r="L37" s="310">
        <v>0</v>
      </c>
      <c r="O37" s="339"/>
    </row>
    <row r="38" spans="1:15" x14ac:dyDescent="0.2">
      <c r="A38" s="309">
        <v>29</v>
      </c>
      <c r="B38" s="224" t="s">
        <v>157</v>
      </c>
      <c r="C38" s="220" t="s">
        <v>158</v>
      </c>
      <c r="D38" s="305">
        <f t="shared" si="2"/>
        <v>64672</v>
      </c>
      <c r="E38" s="305">
        <f t="shared" si="3"/>
        <v>0</v>
      </c>
      <c r="F38" s="305">
        <v>0</v>
      </c>
      <c r="G38" s="305">
        <v>0</v>
      </c>
      <c r="H38" s="305">
        <f t="shared" si="4"/>
        <v>56970</v>
      </c>
      <c r="I38" s="310">
        <v>8296</v>
      </c>
      <c r="J38" s="310">
        <v>1560</v>
      </c>
      <c r="K38" s="310">
        <v>47114</v>
      </c>
      <c r="L38" s="310">
        <v>7702</v>
      </c>
      <c r="O38" s="339"/>
    </row>
    <row r="39" spans="1:15" x14ac:dyDescent="0.2">
      <c r="A39" s="309">
        <v>30</v>
      </c>
      <c r="B39" s="222" t="s">
        <v>46</v>
      </c>
      <c r="C39" s="220" t="s">
        <v>47</v>
      </c>
      <c r="D39" s="305">
        <f t="shared" si="2"/>
        <v>66455</v>
      </c>
      <c r="E39" s="305">
        <f t="shared" si="3"/>
        <v>0</v>
      </c>
      <c r="F39" s="305">
        <v>0</v>
      </c>
      <c r="G39" s="305">
        <v>0</v>
      </c>
      <c r="H39" s="305">
        <f t="shared" si="4"/>
        <v>52765</v>
      </c>
      <c r="I39" s="310">
        <v>6754</v>
      </c>
      <c r="J39" s="310">
        <v>3146</v>
      </c>
      <c r="K39" s="310">
        <v>42865</v>
      </c>
      <c r="L39" s="310">
        <v>13690</v>
      </c>
      <c r="O39" s="339"/>
    </row>
    <row r="40" spans="1:15" x14ac:dyDescent="0.2">
      <c r="A40" s="309">
        <v>31</v>
      </c>
      <c r="B40" s="224" t="s">
        <v>159</v>
      </c>
      <c r="C40" s="220" t="s">
        <v>160</v>
      </c>
      <c r="D40" s="305">
        <f t="shared" si="2"/>
        <v>17900</v>
      </c>
      <c r="E40" s="305">
        <f t="shared" si="3"/>
        <v>0</v>
      </c>
      <c r="F40" s="305">
        <v>0</v>
      </c>
      <c r="G40" s="305">
        <v>0</v>
      </c>
      <c r="H40" s="305">
        <f t="shared" si="4"/>
        <v>17900</v>
      </c>
      <c r="I40" s="310">
        <v>2110</v>
      </c>
      <c r="J40" s="310">
        <v>3570</v>
      </c>
      <c r="K40" s="310">
        <v>12220</v>
      </c>
      <c r="L40" s="310">
        <v>0</v>
      </c>
      <c r="O40" s="339"/>
    </row>
    <row r="41" spans="1:15" x14ac:dyDescent="0.2">
      <c r="A41" s="309">
        <v>32</v>
      </c>
      <c r="B41" s="219" t="s">
        <v>58</v>
      </c>
      <c r="C41" s="220" t="s">
        <v>59</v>
      </c>
      <c r="D41" s="305">
        <f t="shared" si="2"/>
        <v>37744</v>
      </c>
      <c r="E41" s="305">
        <f t="shared" si="3"/>
        <v>0</v>
      </c>
      <c r="F41" s="305">
        <v>0</v>
      </c>
      <c r="G41" s="305">
        <v>0</v>
      </c>
      <c r="H41" s="305">
        <f t="shared" si="4"/>
        <v>32900</v>
      </c>
      <c r="I41" s="310">
        <v>5200</v>
      </c>
      <c r="J41" s="310">
        <v>3000</v>
      </c>
      <c r="K41" s="310">
        <v>24700</v>
      </c>
      <c r="L41" s="310">
        <v>4844</v>
      </c>
      <c r="O41" s="339"/>
    </row>
    <row r="42" spans="1:15" x14ac:dyDescent="0.2">
      <c r="A42" s="309">
        <v>33</v>
      </c>
      <c r="B42" s="224" t="s">
        <v>161</v>
      </c>
      <c r="C42" s="220" t="s">
        <v>162</v>
      </c>
      <c r="D42" s="305">
        <f t="shared" si="2"/>
        <v>11943</v>
      </c>
      <c r="E42" s="305">
        <f t="shared" si="3"/>
        <v>0</v>
      </c>
      <c r="F42" s="305">
        <v>0</v>
      </c>
      <c r="G42" s="305">
        <v>0</v>
      </c>
      <c r="H42" s="305">
        <f t="shared" si="4"/>
        <v>11943</v>
      </c>
      <c r="I42" s="310">
        <v>2978</v>
      </c>
      <c r="J42" s="310">
        <v>2637</v>
      </c>
      <c r="K42" s="310">
        <v>6328</v>
      </c>
      <c r="L42" s="310">
        <v>0</v>
      </c>
      <c r="O42" s="339"/>
    </row>
    <row r="43" spans="1:15" x14ac:dyDescent="0.2">
      <c r="A43" s="309">
        <v>34</v>
      </c>
      <c r="B43" s="222" t="s">
        <v>82</v>
      </c>
      <c r="C43" s="220" t="s">
        <v>83</v>
      </c>
      <c r="D43" s="305">
        <f t="shared" si="2"/>
        <v>41021</v>
      </c>
      <c r="E43" s="305">
        <f t="shared" si="3"/>
        <v>0</v>
      </c>
      <c r="F43" s="305">
        <v>0</v>
      </c>
      <c r="G43" s="305">
        <v>0</v>
      </c>
      <c r="H43" s="305">
        <f t="shared" si="4"/>
        <v>41021</v>
      </c>
      <c r="I43" s="310">
        <v>2120</v>
      </c>
      <c r="J43" s="310">
        <v>400</v>
      </c>
      <c r="K43" s="310">
        <v>38501</v>
      </c>
      <c r="L43" s="310">
        <v>0</v>
      </c>
      <c r="O43" s="339"/>
    </row>
    <row r="44" spans="1:15" x14ac:dyDescent="0.2">
      <c r="A44" s="309">
        <v>35</v>
      </c>
      <c r="B44" s="312" t="s">
        <v>163</v>
      </c>
      <c r="C44" s="313" t="s">
        <v>164</v>
      </c>
      <c r="D44" s="305">
        <f t="shared" si="2"/>
        <v>19016</v>
      </c>
      <c r="E44" s="305">
        <f t="shared" si="3"/>
        <v>0</v>
      </c>
      <c r="F44" s="305">
        <v>0</v>
      </c>
      <c r="G44" s="305">
        <v>0</v>
      </c>
      <c r="H44" s="305">
        <f t="shared" si="4"/>
        <v>19016</v>
      </c>
      <c r="I44" s="310">
        <v>1204</v>
      </c>
      <c r="J44" s="310">
        <v>1938</v>
      </c>
      <c r="K44" s="310">
        <v>15874</v>
      </c>
      <c r="L44" s="310">
        <v>0</v>
      </c>
      <c r="O44" s="339"/>
    </row>
    <row r="45" spans="1:15" x14ac:dyDescent="0.2">
      <c r="A45" s="309">
        <v>36</v>
      </c>
      <c r="B45" s="222" t="s">
        <v>165</v>
      </c>
      <c r="C45" s="220" t="s">
        <v>166</v>
      </c>
      <c r="D45" s="305">
        <f t="shared" si="2"/>
        <v>7920</v>
      </c>
      <c r="E45" s="305">
        <f t="shared" si="3"/>
        <v>0</v>
      </c>
      <c r="F45" s="305">
        <v>0</v>
      </c>
      <c r="G45" s="305">
        <v>0</v>
      </c>
      <c r="H45" s="305">
        <f t="shared" si="4"/>
        <v>7920</v>
      </c>
      <c r="I45" s="310">
        <v>10</v>
      </c>
      <c r="J45" s="310">
        <v>0</v>
      </c>
      <c r="K45" s="310">
        <v>7910</v>
      </c>
      <c r="L45" s="310">
        <v>0</v>
      </c>
      <c r="O45" s="339"/>
    </row>
    <row r="46" spans="1:15" x14ac:dyDescent="0.2">
      <c r="A46" s="309">
        <v>37</v>
      </c>
      <c r="B46" s="222" t="s">
        <v>86</v>
      </c>
      <c r="C46" s="220" t="s">
        <v>87</v>
      </c>
      <c r="D46" s="305">
        <f t="shared" si="2"/>
        <v>16396</v>
      </c>
      <c r="E46" s="305">
        <f t="shared" si="3"/>
        <v>0</v>
      </c>
      <c r="F46" s="305">
        <v>0</v>
      </c>
      <c r="G46" s="305">
        <v>0</v>
      </c>
      <c r="H46" s="305">
        <f t="shared" si="4"/>
        <v>16396</v>
      </c>
      <c r="I46" s="310">
        <v>1022</v>
      </c>
      <c r="J46" s="310">
        <v>600</v>
      </c>
      <c r="K46" s="310">
        <v>14774</v>
      </c>
      <c r="L46" s="310">
        <v>0</v>
      </c>
      <c r="O46" s="339"/>
    </row>
    <row r="47" spans="1:15" x14ac:dyDescent="0.2">
      <c r="A47" s="309">
        <v>38</v>
      </c>
      <c r="B47" s="219" t="s">
        <v>167</v>
      </c>
      <c r="C47" s="220" t="s">
        <v>168</v>
      </c>
      <c r="D47" s="305">
        <f t="shared" si="2"/>
        <v>7023</v>
      </c>
      <c r="E47" s="305">
        <f t="shared" si="3"/>
        <v>0</v>
      </c>
      <c r="F47" s="305">
        <v>0</v>
      </c>
      <c r="G47" s="305">
        <v>0</v>
      </c>
      <c r="H47" s="305">
        <f t="shared" si="4"/>
        <v>7023</v>
      </c>
      <c r="I47" s="310">
        <v>1072</v>
      </c>
      <c r="J47" s="310">
        <v>348</v>
      </c>
      <c r="K47" s="310">
        <v>5603</v>
      </c>
      <c r="L47" s="310">
        <v>0</v>
      </c>
      <c r="O47" s="339"/>
    </row>
    <row r="48" spans="1:15" x14ac:dyDescent="0.2">
      <c r="A48" s="309">
        <v>39</v>
      </c>
      <c r="B48" s="224" t="s">
        <v>169</v>
      </c>
      <c r="C48" s="220" t="s">
        <v>170</v>
      </c>
      <c r="D48" s="305">
        <f t="shared" si="2"/>
        <v>1000</v>
      </c>
      <c r="E48" s="305">
        <f t="shared" si="3"/>
        <v>0</v>
      </c>
      <c r="F48" s="305">
        <v>0</v>
      </c>
      <c r="G48" s="305">
        <v>0</v>
      </c>
      <c r="H48" s="305">
        <f t="shared" si="4"/>
        <v>1000</v>
      </c>
      <c r="I48" s="310">
        <v>17</v>
      </c>
      <c r="J48" s="310">
        <v>6</v>
      </c>
      <c r="K48" s="310">
        <v>977</v>
      </c>
      <c r="L48" s="310">
        <v>0</v>
      </c>
      <c r="O48" s="339"/>
    </row>
    <row r="49" spans="1:15" x14ac:dyDescent="0.2">
      <c r="A49" s="309">
        <v>40</v>
      </c>
      <c r="B49" s="219" t="s">
        <v>171</v>
      </c>
      <c r="C49" s="220" t="s">
        <v>172</v>
      </c>
      <c r="D49" s="305">
        <f t="shared" si="2"/>
        <v>83611</v>
      </c>
      <c r="E49" s="305">
        <f t="shared" si="3"/>
        <v>0</v>
      </c>
      <c r="F49" s="305">
        <v>0</v>
      </c>
      <c r="G49" s="305">
        <v>0</v>
      </c>
      <c r="H49" s="305">
        <f t="shared" si="4"/>
        <v>62000</v>
      </c>
      <c r="I49" s="310">
        <v>6751</v>
      </c>
      <c r="J49" s="310">
        <v>184</v>
      </c>
      <c r="K49" s="310">
        <v>55065</v>
      </c>
      <c r="L49" s="310">
        <v>21611</v>
      </c>
      <c r="O49" s="339"/>
    </row>
    <row r="50" spans="1:15" x14ac:dyDescent="0.2">
      <c r="A50" s="309">
        <v>41</v>
      </c>
      <c r="B50" s="222" t="s">
        <v>78</v>
      </c>
      <c r="C50" s="220" t="s">
        <v>79</v>
      </c>
      <c r="D50" s="305">
        <f t="shared" si="2"/>
        <v>9000</v>
      </c>
      <c r="E50" s="305">
        <f t="shared" si="3"/>
        <v>0</v>
      </c>
      <c r="F50" s="305">
        <v>0</v>
      </c>
      <c r="G50" s="305">
        <v>0</v>
      </c>
      <c r="H50" s="305">
        <f t="shared" si="4"/>
        <v>9000</v>
      </c>
      <c r="I50" s="310">
        <v>1588</v>
      </c>
      <c r="J50" s="310">
        <v>280</v>
      </c>
      <c r="K50" s="310">
        <v>7132</v>
      </c>
      <c r="L50" s="310">
        <v>0</v>
      </c>
      <c r="O50" s="339"/>
    </row>
    <row r="51" spans="1:15" x14ac:dyDescent="0.2">
      <c r="A51" s="309">
        <v>42</v>
      </c>
      <c r="B51" s="222" t="s">
        <v>173</v>
      </c>
      <c r="C51" s="220" t="s">
        <v>174</v>
      </c>
      <c r="D51" s="305">
        <f t="shared" si="2"/>
        <v>20920</v>
      </c>
      <c r="E51" s="305">
        <f t="shared" si="3"/>
        <v>0</v>
      </c>
      <c r="F51" s="305">
        <v>0</v>
      </c>
      <c r="G51" s="305">
        <v>0</v>
      </c>
      <c r="H51" s="305">
        <f t="shared" si="4"/>
        <v>20920</v>
      </c>
      <c r="I51" s="310">
        <v>3680</v>
      </c>
      <c r="J51" s="310">
        <v>1520</v>
      </c>
      <c r="K51" s="310">
        <v>15720</v>
      </c>
      <c r="L51" s="310">
        <v>0</v>
      </c>
      <c r="O51" s="339"/>
    </row>
    <row r="52" spans="1:15" x14ac:dyDescent="0.2">
      <c r="A52" s="309">
        <v>43</v>
      </c>
      <c r="B52" s="219" t="s">
        <v>175</v>
      </c>
      <c r="C52" s="220" t="s">
        <v>176</v>
      </c>
      <c r="D52" s="305">
        <f t="shared" si="2"/>
        <v>11110</v>
      </c>
      <c r="E52" s="305">
        <f t="shared" si="3"/>
        <v>0</v>
      </c>
      <c r="F52" s="305">
        <v>0</v>
      </c>
      <c r="G52" s="305">
        <v>0</v>
      </c>
      <c r="H52" s="305">
        <f t="shared" si="4"/>
        <v>11110</v>
      </c>
      <c r="I52" s="310">
        <v>1749</v>
      </c>
      <c r="J52" s="310">
        <v>1511</v>
      </c>
      <c r="K52" s="310">
        <v>7850</v>
      </c>
      <c r="L52" s="310">
        <v>0</v>
      </c>
      <c r="O52" s="339"/>
    </row>
    <row r="53" spans="1:15" x14ac:dyDescent="0.2">
      <c r="A53" s="309">
        <v>44</v>
      </c>
      <c r="B53" s="219" t="s">
        <v>42</v>
      </c>
      <c r="C53" s="220" t="s">
        <v>43</v>
      </c>
      <c r="D53" s="305">
        <f t="shared" si="2"/>
        <v>15279</v>
      </c>
      <c r="E53" s="305">
        <f t="shared" si="3"/>
        <v>0</v>
      </c>
      <c r="F53" s="305">
        <v>0</v>
      </c>
      <c r="G53" s="305">
        <v>0</v>
      </c>
      <c r="H53" s="305">
        <f t="shared" si="4"/>
        <v>15279</v>
      </c>
      <c r="I53" s="310">
        <v>1378</v>
      </c>
      <c r="J53" s="310">
        <v>3851</v>
      </c>
      <c r="K53" s="310">
        <v>10050</v>
      </c>
      <c r="L53" s="310">
        <v>0</v>
      </c>
      <c r="O53" s="339"/>
    </row>
    <row r="54" spans="1:15" x14ac:dyDescent="0.2">
      <c r="A54" s="309">
        <v>45</v>
      </c>
      <c r="B54" s="224" t="s">
        <v>177</v>
      </c>
      <c r="C54" s="220" t="s">
        <v>178</v>
      </c>
      <c r="D54" s="305">
        <f t="shared" si="2"/>
        <v>22434</v>
      </c>
      <c r="E54" s="305">
        <f t="shared" si="3"/>
        <v>0</v>
      </c>
      <c r="F54" s="305">
        <v>0</v>
      </c>
      <c r="G54" s="305">
        <v>0</v>
      </c>
      <c r="H54" s="305">
        <f t="shared" si="4"/>
        <v>22434</v>
      </c>
      <c r="I54" s="310">
        <v>1052</v>
      </c>
      <c r="J54" s="310">
        <v>6797</v>
      </c>
      <c r="K54" s="310">
        <v>14585</v>
      </c>
      <c r="L54" s="310">
        <v>0</v>
      </c>
      <c r="O54" s="339"/>
    </row>
    <row r="55" spans="1:15" x14ac:dyDescent="0.2">
      <c r="A55" s="309">
        <v>46</v>
      </c>
      <c r="B55" s="219" t="s">
        <v>179</v>
      </c>
      <c r="C55" s="220" t="s">
        <v>180</v>
      </c>
      <c r="D55" s="305">
        <f t="shared" si="2"/>
        <v>5200</v>
      </c>
      <c r="E55" s="305">
        <f t="shared" si="3"/>
        <v>0</v>
      </c>
      <c r="F55" s="305">
        <v>0</v>
      </c>
      <c r="G55" s="305">
        <v>0</v>
      </c>
      <c r="H55" s="305">
        <f t="shared" si="4"/>
        <v>5200</v>
      </c>
      <c r="I55" s="310">
        <v>371</v>
      </c>
      <c r="J55" s="310">
        <v>433</v>
      </c>
      <c r="K55" s="310">
        <v>4396</v>
      </c>
      <c r="L55" s="310">
        <v>0</v>
      </c>
      <c r="O55" s="339"/>
    </row>
    <row r="56" spans="1:15" x14ac:dyDescent="0.2">
      <c r="A56" s="309">
        <v>47</v>
      </c>
      <c r="B56" s="224" t="s">
        <v>181</v>
      </c>
      <c r="C56" s="220" t="s">
        <v>182</v>
      </c>
      <c r="D56" s="305">
        <f t="shared" si="2"/>
        <v>8071</v>
      </c>
      <c r="E56" s="305">
        <f t="shared" si="3"/>
        <v>0</v>
      </c>
      <c r="F56" s="305">
        <v>0</v>
      </c>
      <c r="G56" s="305">
        <v>0</v>
      </c>
      <c r="H56" s="305">
        <f t="shared" si="4"/>
        <v>8071</v>
      </c>
      <c r="I56" s="310">
        <v>1689</v>
      </c>
      <c r="J56" s="310">
        <v>155</v>
      </c>
      <c r="K56" s="310">
        <v>6227</v>
      </c>
      <c r="L56" s="310">
        <v>0</v>
      </c>
      <c r="O56" s="339"/>
    </row>
    <row r="57" spans="1:15" x14ac:dyDescent="0.2">
      <c r="A57" s="309">
        <v>48</v>
      </c>
      <c r="B57" s="219" t="s">
        <v>183</v>
      </c>
      <c r="C57" s="220" t="s">
        <v>184</v>
      </c>
      <c r="D57" s="305">
        <f t="shared" si="2"/>
        <v>21300</v>
      </c>
      <c r="E57" s="305">
        <f t="shared" si="3"/>
        <v>0</v>
      </c>
      <c r="F57" s="305">
        <v>0</v>
      </c>
      <c r="G57" s="305">
        <v>0</v>
      </c>
      <c r="H57" s="305">
        <f t="shared" si="4"/>
        <v>21300</v>
      </c>
      <c r="I57" s="310">
        <v>3141</v>
      </c>
      <c r="J57" s="310">
        <v>400</v>
      </c>
      <c r="K57" s="310">
        <v>17759</v>
      </c>
      <c r="L57" s="310">
        <v>0</v>
      </c>
      <c r="O57" s="339"/>
    </row>
    <row r="58" spans="1:15" x14ac:dyDescent="0.2">
      <c r="A58" s="309">
        <v>49</v>
      </c>
      <c r="B58" s="219" t="s">
        <v>185</v>
      </c>
      <c r="C58" s="220" t="s">
        <v>186</v>
      </c>
      <c r="D58" s="305">
        <f t="shared" si="2"/>
        <v>75762</v>
      </c>
      <c r="E58" s="305">
        <f t="shared" si="3"/>
        <v>0</v>
      </c>
      <c r="F58" s="305">
        <v>0</v>
      </c>
      <c r="G58" s="305">
        <v>0</v>
      </c>
      <c r="H58" s="305">
        <f t="shared" si="4"/>
        <v>72810</v>
      </c>
      <c r="I58" s="310">
        <v>7995</v>
      </c>
      <c r="J58" s="310">
        <v>8850</v>
      </c>
      <c r="K58" s="310">
        <v>55965</v>
      </c>
      <c r="L58" s="310">
        <v>2952</v>
      </c>
      <c r="O58" s="339"/>
    </row>
    <row r="59" spans="1:15" x14ac:dyDescent="0.2">
      <c r="A59" s="309">
        <v>50</v>
      </c>
      <c r="B59" s="219" t="s">
        <v>187</v>
      </c>
      <c r="C59" s="220" t="s">
        <v>188</v>
      </c>
      <c r="D59" s="305">
        <f t="shared" si="2"/>
        <v>11336</v>
      </c>
      <c r="E59" s="305">
        <f t="shared" si="3"/>
        <v>0</v>
      </c>
      <c r="F59" s="305">
        <v>0</v>
      </c>
      <c r="G59" s="305">
        <v>0</v>
      </c>
      <c r="H59" s="305">
        <f t="shared" si="4"/>
        <v>11336</v>
      </c>
      <c r="I59" s="310">
        <v>2036</v>
      </c>
      <c r="J59" s="310">
        <v>3241</v>
      </c>
      <c r="K59" s="310">
        <v>6059</v>
      </c>
      <c r="L59" s="310">
        <v>0</v>
      </c>
      <c r="O59" s="339"/>
    </row>
    <row r="60" spans="1:15" x14ac:dyDescent="0.2">
      <c r="A60" s="309">
        <v>51</v>
      </c>
      <c r="B60" s="219" t="s">
        <v>189</v>
      </c>
      <c r="C60" s="220" t="s">
        <v>190</v>
      </c>
      <c r="D60" s="305">
        <f t="shared" si="2"/>
        <v>0</v>
      </c>
      <c r="E60" s="305">
        <f t="shared" si="3"/>
        <v>0</v>
      </c>
      <c r="F60" s="305">
        <v>0</v>
      </c>
      <c r="G60" s="305">
        <v>0</v>
      </c>
      <c r="H60" s="305">
        <f t="shared" si="4"/>
        <v>0</v>
      </c>
      <c r="I60" s="310">
        <v>0</v>
      </c>
      <c r="J60" s="310">
        <v>0</v>
      </c>
      <c r="K60" s="310">
        <v>0</v>
      </c>
      <c r="L60" s="310">
        <v>0</v>
      </c>
      <c r="O60" s="339"/>
    </row>
    <row r="61" spans="1:15" ht="24" x14ac:dyDescent="0.2">
      <c r="A61" s="309">
        <v>52</v>
      </c>
      <c r="B61" s="219" t="s">
        <v>191</v>
      </c>
      <c r="C61" s="220" t="s">
        <v>192</v>
      </c>
      <c r="D61" s="305">
        <f t="shared" si="2"/>
        <v>0</v>
      </c>
      <c r="E61" s="305">
        <f t="shared" si="3"/>
        <v>0</v>
      </c>
      <c r="F61" s="305">
        <v>0</v>
      </c>
      <c r="G61" s="305">
        <v>0</v>
      </c>
      <c r="H61" s="305">
        <f t="shared" si="4"/>
        <v>0</v>
      </c>
      <c r="I61" s="310">
        <v>0</v>
      </c>
      <c r="J61" s="310">
        <v>0</v>
      </c>
      <c r="K61" s="310">
        <v>0</v>
      </c>
      <c r="L61" s="310">
        <v>0</v>
      </c>
      <c r="O61" s="339"/>
    </row>
    <row r="62" spans="1:15" ht="24" x14ac:dyDescent="0.2">
      <c r="A62" s="309">
        <v>53</v>
      </c>
      <c r="B62" s="219" t="s">
        <v>22</v>
      </c>
      <c r="C62" s="220" t="s">
        <v>23</v>
      </c>
      <c r="D62" s="305">
        <f t="shared" si="2"/>
        <v>70500</v>
      </c>
      <c r="E62" s="305">
        <f t="shared" si="3"/>
        <v>0</v>
      </c>
      <c r="F62" s="305">
        <v>0</v>
      </c>
      <c r="G62" s="305">
        <v>0</v>
      </c>
      <c r="H62" s="305">
        <f t="shared" si="4"/>
        <v>70500</v>
      </c>
      <c r="I62" s="310">
        <v>3460</v>
      </c>
      <c r="J62" s="310">
        <v>0</v>
      </c>
      <c r="K62" s="310">
        <v>67040</v>
      </c>
      <c r="L62" s="310">
        <v>0</v>
      </c>
      <c r="O62" s="339"/>
    </row>
    <row r="63" spans="1:15" ht="24" x14ac:dyDescent="0.2">
      <c r="A63" s="309">
        <v>54</v>
      </c>
      <c r="B63" s="224" t="s">
        <v>24</v>
      </c>
      <c r="C63" s="220" t="s">
        <v>25</v>
      </c>
      <c r="D63" s="305">
        <f t="shared" si="2"/>
        <v>48267</v>
      </c>
      <c r="E63" s="305">
        <f t="shared" si="3"/>
        <v>0</v>
      </c>
      <c r="F63" s="305">
        <v>0</v>
      </c>
      <c r="G63" s="305">
        <v>0</v>
      </c>
      <c r="H63" s="305">
        <f t="shared" si="4"/>
        <v>48267</v>
      </c>
      <c r="I63" s="310">
        <v>2760</v>
      </c>
      <c r="J63" s="310">
        <v>0</v>
      </c>
      <c r="K63" s="310">
        <v>45507</v>
      </c>
      <c r="L63" s="310">
        <v>0</v>
      </c>
      <c r="O63" s="339"/>
    </row>
    <row r="64" spans="1:15" ht="24" x14ac:dyDescent="0.2">
      <c r="A64" s="309">
        <v>55</v>
      </c>
      <c r="B64" s="222" t="s">
        <v>193</v>
      </c>
      <c r="C64" s="220" t="s">
        <v>194</v>
      </c>
      <c r="D64" s="305">
        <f t="shared" si="2"/>
        <v>70272</v>
      </c>
      <c r="E64" s="305">
        <f t="shared" si="3"/>
        <v>0</v>
      </c>
      <c r="F64" s="305">
        <v>0</v>
      </c>
      <c r="G64" s="305">
        <v>0</v>
      </c>
      <c r="H64" s="305">
        <f t="shared" si="4"/>
        <v>70272</v>
      </c>
      <c r="I64" s="310">
        <v>500</v>
      </c>
      <c r="J64" s="310">
        <v>100</v>
      </c>
      <c r="K64" s="310">
        <v>69672</v>
      </c>
      <c r="L64" s="310">
        <v>0</v>
      </c>
      <c r="O64" s="339"/>
    </row>
    <row r="65" spans="1:15" ht="24" x14ac:dyDescent="0.2">
      <c r="A65" s="309">
        <v>56</v>
      </c>
      <c r="B65" s="224" t="s">
        <v>26</v>
      </c>
      <c r="C65" s="220" t="s">
        <v>27</v>
      </c>
      <c r="D65" s="305">
        <f t="shared" si="2"/>
        <v>111291</v>
      </c>
      <c r="E65" s="305">
        <f t="shared" si="3"/>
        <v>150</v>
      </c>
      <c r="F65" s="305">
        <v>150</v>
      </c>
      <c r="G65" s="305">
        <v>0</v>
      </c>
      <c r="H65" s="305">
        <f t="shared" si="4"/>
        <v>102193</v>
      </c>
      <c r="I65" s="310">
        <v>8115</v>
      </c>
      <c r="J65" s="310">
        <v>0</v>
      </c>
      <c r="K65" s="310">
        <v>94078</v>
      </c>
      <c r="L65" s="310">
        <v>8948</v>
      </c>
      <c r="O65" s="339"/>
    </row>
    <row r="66" spans="1:15" ht="24" x14ac:dyDescent="0.2">
      <c r="A66" s="309">
        <v>57</v>
      </c>
      <c r="B66" s="219" t="s">
        <v>28</v>
      </c>
      <c r="C66" s="220" t="s">
        <v>29</v>
      </c>
      <c r="D66" s="305">
        <f t="shared" si="2"/>
        <v>47575</v>
      </c>
      <c r="E66" s="305">
        <f t="shared" si="3"/>
        <v>0</v>
      </c>
      <c r="F66" s="305">
        <v>0</v>
      </c>
      <c r="G66" s="305">
        <v>0</v>
      </c>
      <c r="H66" s="305">
        <f t="shared" si="4"/>
        <v>47575</v>
      </c>
      <c r="I66" s="310">
        <v>8500</v>
      </c>
      <c r="J66" s="310">
        <v>1500</v>
      </c>
      <c r="K66" s="310">
        <v>37575</v>
      </c>
      <c r="L66" s="310">
        <v>0</v>
      </c>
      <c r="O66" s="339"/>
    </row>
    <row r="67" spans="1:15" ht="36" x14ac:dyDescent="0.2">
      <c r="A67" s="309">
        <v>58</v>
      </c>
      <c r="B67" s="222" t="s">
        <v>196</v>
      </c>
      <c r="C67" s="220" t="s">
        <v>197</v>
      </c>
      <c r="D67" s="305">
        <f t="shared" si="2"/>
        <v>0</v>
      </c>
      <c r="E67" s="305">
        <f t="shared" si="3"/>
        <v>0</v>
      </c>
      <c r="F67" s="305">
        <v>0</v>
      </c>
      <c r="G67" s="305">
        <v>0</v>
      </c>
      <c r="H67" s="305">
        <f t="shared" si="4"/>
        <v>0</v>
      </c>
      <c r="I67" s="310">
        <v>0</v>
      </c>
      <c r="J67" s="310">
        <v>0</v>
      </c>
      <c r="K67" s="310">
        <v>0</v>
      </c>
      <c r="L67" s="310">
        <v>0</v>
      </c>
      <c r="O67" s="339"/>
    </row>
    <row r="68" spans="1:15" ht="36" x14ac:dyDescent="0.2">
      <c r="A68" s="309">
        <v>59</v>
      </c>
      <c r="B68" s="222" t="s">
        <v>198</v>
      </c>
      <c r="C68" s="220" t="s">
        <v>199</v>
      </c>
      <c r="D68" s="305">
        <f t="shared" si="2"/>
        <v>0</v>
      </c>
      <c r="E68" s="305">
        <f t="shared" si="3"/>
        <v>0</v>
      </c>
      <c r="F68" s="305">
        <v>0</v>
      </c>
      <c r="G68" s="305">
        <v>0</v>
      </c>
      <c r="H68" s="305">
        <f t="shared" si="4"/>
        <v>0</v>
      </c>
      <c r="I68" s="310">
        <v>0</v>
      </c>
      <c r="J68" s="310">
        <v>0</v>
      </c>
      <c r="K68" s="310">
        <v>0</v>
      </c>
      <c r="L68" s="310">
        <v>0</v>
      </c>
      <c r="O68" s="339"/>
    </row>
    <row r="69" spans="1:15" x14ac:dyDescent="0.2">
      <c r="A69" s="309">
        <v>60</v>
      </c>
      <c r="B69" s="224" t="s">
        <v>62</v>
      </c>
      <c r="C69" s="220" t="s">
        <v>200</v>
      </c>
      <c r="D69" s="305">
        <f t="shared" si="2"/>
        <v>11500</v>
      </c>
      <c r="E69" s="305">
        <f t="shared" si="3"/>
        <v>0</v>
      </c>
      <c r="F69" s="305">
        <v>0</v>
      </c>
      <c r="G69" s="305">
        <v>0</v>
      </c>
      <c r="H69" s="305">
        <f t="shared" si="4"/>
        <v>11500</v>
      </c>
      <c r="I69" s="310">
        <v>2298</v>
      </c>
      <c r="J69" s="310">
        <v>0</v>
      </c>
      <c r="K69" s="310">
        <v>9202</v>
      </c>
      <c r="L69" s="310">
        <v>0</v>
      </c>
      <c r="O69" s="339"/>
    </row>
    <row r="70" spans="1:15" x14ac:dyDescent="0.2">
      <c r="A70" s="309">
        <v>61</v>
      </c>
      <c r="B70" s="224" t="s">
        <v>64</v>
      </c>
      <c r="C70" s="220" t="s">
        <v>201</v>
      </c>
      <c r="D70" s="305">
        <f t="shared" si="2"/>
        <v>15275</v>
      </c>
      <c r="E70" s="305">
        <f t="shared" si="3"/>
        <v>0</v>
      </c>
      <c r="F70" s="305">
        <v>0</v>
      </c>
      <c r="G70" s="305">
        <v>0</v>
      </c>
      <c r="H70" s="305">
        <f t="shared" si="4"/>
        <v>5000</v>
      </c>
      <c r="I70" s="310">
        <v>1336</v>
      </c>
      <c r="J70" s="310">
        <v>0</v>
      </c>
      <c r="K70" s="310">
        <v>3664</v>
      </c>
      <c r="L70" s="310">
        <v>10275</v>
      </c>
      <c r="O70" s="339"/>
    </row>
    <row r="71" spans="1:15" x14ac:dyDescent="0.2">
      <c r="A71" s="309">
        <v>62</v>
      </c>
      <c r="B71" s="224" t="s">
        <v>66</v>
      </c>
      <c r="C71" s="220" t="s">
        <v>202</v>
      </c>
      <c r="D71" s="305">
        <f t="shared" si="2"/>
        <v>11844</v>
      </c>
      <c r="E71" s="305">
        <f t="shared" si="3"/>
        <v>0</v>
      </c>
      <c r="F71" s="305">
        <v>0</v>
      </c>
      <c r="G71" s="305">
        <v>0</v>
      </c>
      <c r="H71" s="305">
        <f t="shared" si="4"/>
        <v>11844</v>
      </c>
      <c r="I71" s="310">
        <v>8274</v>
      </c>
      <c r="J71" s="310">
        <v>0</v>
      </c>
      <c r="K71" s="310">
        <v>3570</v>
      </c>
      <c r="L71" s="310">
        <v>0</v>
      </c>
      <c r="O71" s="339"/>
    </row>
    <row r="72" spans="1:15" ht="24" x14ac:dyDescent="0.2">
      <c r="A72" s="309">
        <v>63</v>
      </c>
      <c r="B72" s="224" t="s">
        <v>203</v>
      </c>
      <c r="C72" s="220" t="s">
        <v>204</v>
      </c>
      <c r="D72" s="305">
        <f t="shared" si="2"/>
        <v>300</v>
      </c>
      <c r="E72" s="305">
        <f t="shared" si="3"/>
        <v>0</v>
      </c>
      <c r="F72" s="305">
        <v>0</v>
      </c>
      <c r="G72" s="305">
        <v>0</v>
      </c>
      <c r="H72" s="305">
        <f>I72+J72+K72</f>
        <v>300</v>
      </c>
      <c r="I72" s="310">
        <v>0</v>
      </c>
      <c r="J72" s="310">
        <v>300</v>
      </c>
      <c r="K72" s="310">
        <v>0</v>
      </c>
      <c r="L72" s="310">
        <v>0</v>
      </c>
      <c r="O72" s="339"/>
    </row>
    <row r="73" spans="1:15" ht="24" x14ac:dyDescent="0.2">
      <c r="A73" s="309">
        <v>64</v>
      </c>
      <c r="B73" s="222" t="s">
        <v>205</v>
      </c>
      <c r="C73" s="220" t="s">
        <v>206</v>
      </c>
      <c r="D73" s="305">
        <f t="shared" si="2"/>
        <v>100</v>
      </c>
      <c r="E73" s="305">
        <f t="shared" si="3"/>
        <v>0</v>
      </c>
      <c r="F73" s="305">
        <v>0</v>
      </c>
      <c r="G73" s="305">
        <v>0</v>
      </c>
      <c r="H73" s="305">
        <f t="shared" ref="H73:H136" si="5">I73+J73+K73</f>
        <v>100</v>
      </c>
      <c r="I73" s="310">
        <v>0</v>
      </c>
      <c r="J73" s="310">
        <v>100</v>
      </c>
      <c r="K73" s="310">
        <v>0</v>
      </c>
      <c r="L73" s="310">
        <v>0</v>
      </c>
      <c r="O73" s="339"/>
    </row>
    <row r="74" spans="1:15" ht="24" x14ac:dyDescent="0.2">
      <c r="A74" s="309">
        <v>65</v>
      </c>
      <c r="B74" s="224" t="s">
        <v>207</v>
      </c>
      <c r="C74" s="220" t="s">
        <v>208</v>
      </c>
      <c r="D74" s="305">
        <f t="shared" si="2"/>
        <v>50</v>
      </c>
      <c r="E74" s="305">
        <f t="shared" si="3"/>
        <v>0</v>
      </c>
      <c r="F74" s="305">
        <v>0</v>
      </c>
      <c r="G74" s="305">
        <v>0</v>
      </c>
      <c r="H74" s="305">
        <f t="shared" si="5"/>
        <v>50</v>
      </c>
      <c r="I74" s="310">
        <v>0</v>
      </c>
      <c r="J74" s="310">
        <v>50</v>
      </c>
      <c r="K74" s="310">
        <v>0</v>
      </c>
      <c r="L74" s="310">
        <v>0</v>
      </c>
      <c r="O74" s="339"/>
    </row>
    <row r="75" spans="1:15" ht="24" x14ac:dyDescent="0.2">
      <c r="A75" s="309">
        <v>66</v>
      </c>
      <c r="B75" s="224" t="s">
        <v>209</v>
      </c>
      <c r="C75" s="220" t="s">
        <v>210</v>
      </c>
      <c r="D75" s="305">
        <f t="shared" ref="D75:D138" si="6">E75+H75+L75</f>
        <v>290</v>
      </c>
      <c r="E75" s="305">
        <f t="shared" ref="E75:E138" si="7">F75+G75</f>
        <v>0</v>
      </c>
      <c r="F75" s="305">
        <v>0</v>
      </c>
      <c r="G75" s="305">
        <v>0</v>
      </c>
      <c r="H75" s="305">
        <f t="shared" si="5"/>
        <v>290</v>
      </c>
      <c r="I75" s="310">
        <v>0</v>
      </c>
      <c r="J75" s="310">
        <v>290</v>
      </c>
      <c r="K75" s="310">
        <v>0</v>
      </c>
      <c r="L75" s="310">
        <v>0</v>
      </c>
      <c r="O75" s="339"/>
    </row>
    <row r="76" spans="1:15" ht="24" x14ac:dyDescent="0.2">
      <c r="A76" s="309">
        <v>67</v>
      </c>
      <c r="B76" s="222" t="s">
        <v>211</v>
      </c>
      <c r="C76" s="220" t="s">
        <v>212</v>
      </c>
      <c r="D76" s="305">
        <f t="shared" si="6"/>
        <v>1600</v>
      </c>
      <c r="E76" s="305">
        <f t="shared" si="7"/>
        <v>0</v>
      </c>
      <c r="F76" s="305">
        <v>0</v>
      </c>
      <c r="G76" s="305">
        <v>0</v>
      </c>
      <c r="H76" s="305">
        <f t="shared" si="5"/>
        <v>1600</v>
      </c>
      <c r="I76" s="310">
        <v>0</v>
      </c>
      <c r="J76" s="310">
        <v>1600</v>
      </c>
      <c r="K76" s="310">
        <v>0</v>
      </c>
      <c r="L76" s="310">
        <v>0</v>
      </c>
      <c r="O76" s="339"/>
    </row>
    <row r="77" spans="1:15" ht="24" x14ac:dyDescent="0.2">
      <c r="A77" s="309">
        <v>68</v>
      </c>
      <c r="B77" s="222" t="s">
        <v>213</v>
      </c>
      <c r="C77" s="220" t="s">
        <v>214</v>
      </c>
      <c r="D77" s="305">
        <f t="shared" si="6"/>
        <v>144</v>
      </c>
      <c r="E77" s="305">
        <f t="shared" si="7"/>
        <v>0</v>
      </c>
      <c r="F77" s="305">
        <v>0</v>
      </c>
      <c r="G77" s="305">
        <v>0</v>
      </c>
      <c r="H77" s="305">
        <f t="shared" si="5"/>
        <v>144</v>
      </c>
      <c r="I77" s="310">
        <v>0</v>
      </c>
      <c r="J77" s="310">
        <v>144</v>
      </c>
      <c r="K77" s="310">
        <v>0</v>
      </c>
      <c r="L77" s="310">
        <v>0</v>
      </c>
      <c r="O77" s="339"/>
    </row>
    <row r="78" spans="1:15" ht="24" x14ac:dyDescent="0.2">
      <c r="A78" s="309">
        <v>69</v>
      </c>
      <c r="B78" s="222" t="s">
        <v>215</v>
      </c>
      <c r="C78" s="220" t="s">
        <v>216</v>
      </c>
      <c r="D78" s="305">
        <f t="shared" si="6"/>
        <v>0</v>
      </c>
      <c r="E78" s="305">
        <f t="shared" si="7"/>
        <v>0</v>
      </c>
      <c r="F78" s="305">
        <v>0</v>
      </c>
      <c r="G78" s="305">
        <v>0</v>
      </c>
      <c r="H78" s="305">
        <f t="shared" si="5"/>
        <v>0</v>
      </c>
      <c r="I78" s="310">
        <v>0</v>
      </c>
      <c r="J78" s="310">
        <v>0</v>
      </c>
      <c r="K78" s="310">
        <v>0</v>
      </c>
      <c r="L78" s="310">
        <v>0</v>
      </c>
      <c r="O78" s="339"/>
    </row>
    <row r="79" spans="1:15" ht="24" x14ac:dyDescent="0.2">
      <c r="A79" s="309">
        <v>70</v>
      </c>
      <c r="B79" s="219" t="s">
        <v>217</v>
      </c>
      <c r="C79" s="220" t="s">
        <v>218</v>
      </c>
      <c r="D79" s="305">
        <f t="shared" si="6"/>
        <v>67437</v>
      </c>
      <c r="E79" s="305">
        <f t="shared" si="7"/>
        <v>0</v>
      </c>
      <c r="F79" s="305">
        <v>0</v>
      </c>
      <c r="G79" s="305">
        <v>0</v>
      </c>
      <c r="H79" s="305">
        <f t="shared" si="5"/>
        <v>56400</v>
      </c>
      <c r="I79" s="310">
        <v>5950</v>
      </c>
      <c r="J79" s="310">
        <v>3550</v>
      </c>
      <c r="K79" s="310">
        <v>46900</v>
      </c>
      <c r="L79" s="310">
        <v>11037</v>
      </c>
      <c r="O79" s="339"/>
    </row>
    <row r="80" spans="1:15" x14ac:dyDescent="0.2">
      <c r="A80" s="309">
        <v>71</v>
      </c>
      <c r="B80" s="222" t="s">
        <v>50</v>
      </c>
      <c r="C80" s="220" t="s">
        <v>219</v>
      </c>
      <c r="D80" s="305">
        <f t="shared" si="6"/>
        <v>40000</v>
      </c>
      <c r="E80" s="305">
        <f t="shared" si="7"/>
        <v>0</v>
      </c>
      <c r="F80" s="305">
        <v>0</v>
      </c>
      <c r="G80" s="305">
        <v>0</v>
      </c>
      <c r="H80" s="305">
        <f t="shared" si="5"/>
        <v>40000</v>
      </c>
      <c r="I80" s="310">
        <v>20600</v>
      </c>
      <c r="J80" s="310">
        <v>0</v>
      </c>
      <c r="K80" s="310">
        <v>19400</v>
      </c>
      <c r="L80" s="310">
        <v>0</v>
      </c>
      <c r="O80" s="339"/>
    </row>
    <row r="81" spans="1:15" x14ac:dyDescent="0.2">
      <c r="A81" s="309">
        <v>72</v>
      </c>
      <c r="B81" s="219" t="s">
        <v>52</v>
      </c>
      <c r="C81" s="220" t="s">
        <v>220</v>
      </c>
      <c r="D81" s="305">
        <f t="shared" si="6"/>
        <v>24320</v>
      </c>
      <c r="E81" s="305">
        <f t="shared" si="7"/>
        <v>0</v>
      </c>
      <c r="F81" s="305">
        <v>0</v>
      </c>
      <c r="G81" s="305">
        <v>0</v>
      </c>
      <c r="H81" s="305">
        <f t="shared" si="5"/>
        <v>15500</v>
      </c>
      <c r="I81" s="310">
        <v>3565</v>
      </c>
      <c r="J81" s="310">
        <v>2950</v>
      </c>
      <c r="K81" s="310">
        <v>8985</v>
      </c>
      <c r="L81" s="310">
        <v>8820</v>
      </c>
      <c r="O81" s="339"/>
    </row>
    <row r="82" spans="1:15" x14ac:dyDescent="0.2">
      <c r="A82" s="309">
        <v>73</v>
      </c>
      <c r="B82" s="222" t="s">
        <v>44</v>
      </c>
      <c r="C82" s="220" t="s">
        <v>221</v>
      </c>
      <c r="D82" s="305">
        <f t="shared" si="6"/>
        <v>5000</v>
      </c>
      <c r="E82" s="305">
        <f t="shared" si="7"/>
        <v>0</v>
      </c>
      <c r="F82" s="305">
        <v>0</v>
      </c>
      <c r="G82" s="305">
        <v>0</v>
      </c>
      <c r="H82" s="305">
        <f t="shared" si="5"/>
        <v>5000</v>
      </c>
      <c r="I82" s="310">
        <v>601</v>
      </c>
      <c r="J82" s="310">
        <v>491</v>
      </c>
      <c r="K82" s="310">
        <v>3908</v>
      </c>
      <c r="L82" s="310">
        <v>0</v>
      </c>
      <c r="O82" s="339"/>
    </row>
    <row r="83" spans="1:15" x14ac:dyDescent="0.2">
      <c r="A83" s="309">
        <v>74</v>
      </c>
      <c r="B83" s="222" t="s">
        <v>54</v>
      </c>
      <c r="C83" s="220" t="s">
        <v>222</v>
      </c>
      <c r="D83" s="305">
        <f t="shared" si="6"/>
        <v>39700</v>
      </c>
      <c r="E83" s="305">
        <f t="shared" si="7"/>
        <v>0</v>
      </c>
      <c r="F83" s="305">
        <v>0</v>
      </c>
      <c r="G83" s="305">
        <v>0</v>
      </c>
      <c r="H83" s="305">
        <f t="shared" si="5"/>
        <v>39700</v>
      </c>
      <c r="I83" s="310">
        <v>12286</v>
      </c>
      <c r="J83" s="310">
        <v>0</v>
      </c>
      <c r="K83" s="310">
        <v>27414</v>
      </c>
      <c r="L83" s="310">
        <v>0</v>
      </c>
      <c r="O83" s="339"/>
    </row>
    <row r="84" spans="1:15" x14ac:dyDescent="0.2">
      <c r="A84" s="309">
        <v>75</v>
      </c>
      <c r="B84" s="222" t="s">
        <v>36</v>
      </c>
      <c r="C84" s="220" t="s">
        <v>37</v>
      </c>
      <c r="D84" s="305">
        <f t="shared" si="6"/>
        <v>58837</v>
      </c>
      <c r="E84" s="305">
        <f t="shared" si="7"/>
        <v>0</v>
      </c>
      <c r="F84" s="305">
        <v>0</v>
      </c>
      <c r="G84" s="305">
        <v>0</v>
      </c>
      <c r="H84" s="305">
        <f t="shared" si="5"/>
        <v>52000</v>
      </c>
      <c r="I84" s="310">
        <v>2340</v>
      </c>
      <c r="J84" s="310">
        <v>0</v>
      </c>
      <c r="K84" s="310">
        <v>49660</v>
      </c>
      <c r="L84" s="310">
        <v>6837</v>
      </c>
      <c r="O84" s="339"/>
    </row>
    <row r="85" spans="1:15" x14ac:dyDescent="0.2">
      <c r="A85" s="309">
        <v>76</v>
      </c>
      <c r="B85" s="222" t="s">
        <v>48</v>
      </c>
      <c r="C85" s="220" t="s">
        <v>223</v>
      </c>
      <c r="D85" s="305">
        <f t="shared" si="6"/>
        <v>61440</v>
      </c>
      <c r="E85" s="305">
        <f t="shared" si="7"/>
        <v>0</v>
      </c>
      <c r="F85" s="305">
        <v>0</v>
      </c>
      <c r="G85" s="305">
        <v>0</v>
      </c>
      <c r="H85" s="305">
        <f t="shared" si="5"/>
        <v>23000</v>
      </c>
      <c r="I85" s="310">
        <v>6820</v>
      </c>
      <c r="J85" s="310">
        <v>1000</v>
      </c>
      <c r="K85" s="310">
        <v>15180</v>
      </c>
      <c r="L85" s="310">
        <v>38440</v>
      </c>
      <c r="O85" s="339"/>
    </row>
    <row r="86" spans="1:15" x14ac:dyDescent="0.2">
      <c r="A86" s="309">
        <v>77</v>
      </c>
      <c r="B86" s="222" t="s">
        <v>224</v>
      </c>
      <c r="C86" s="220" t="s">
        <v>225</v>
      </c>
      <c r="D86" s="305">
        <f t="shared" si="6"/>
        <v>30483</v>
      </c>
      <c r="E86" s="305">
        <f t="shared" si="7"/>
        <v>30483</v>
      </c>
      <c r="F86" s="305">
        <v>2845</v>
      </c>
      <c r="G86" s="305">
        <v>27638</v>
      </c>
      <c r="H86" s="305">
        <f t="shared" si="5"/>
        <v>0</v>
      </c>
      <c r="I86" s="310">
        <v>0</v>
      </c>
      <c r="J86" s="310">
        <v>0</v>
      </c>
      <c r="K86" s="310">
        <v>0</v>
      </c>
      <c r="L86" s="310">
        <v>0</v>
      </c>
      <c r="O86" s="339"/>
    </row>
    <row r="87" spans="1:15" x14ac:dyDescent="0.2">
      <c r="A87" s="309">
        <v>78</v>
      </c>
      <c r="B87" s="224" t="s">
        <v>226</v>
      </c>
      <c r="C87" s="220" t="s">
        <v>227</v>
      </c>
      <c r="D87" s="305">
        <f t="shared" si="6"/>
        <v>0</v>
      </c>
      <c r="E87" s="305">
        <f t="shared" si="7"/>
        <v>0</v>
      </c>
      <c r="F87" s="305">
        <v>0</v>
      </c>
      <c r="G87" s="305">
        <v>0</v>
      </c>
      <c r="H87" s="305">
        <f t="shared" si="5"/>
        <v>0</v>
      </c>
      <c r="I87" s="310">
        <v>0</v>
      </c>
      <c r="J87" s="310">
        <v>0</v>
      </c>
      <c r="K87" s="310">
        <v>0</v>
      </c>
      <c r="L87" s="310">
        <v>0</v>
      </c>
      <c r="O87" s="339"/>
    </row>
    <row r="88" spans="1:15" ht="24" x14ac:dyDescent="0.2">
      <c r="A88" s="1008">
        <v>79</v>
      </c>
      <c r="B88" s="1011" t="s">
        <v>228</v>
      </c>
      <c r="C88" s="314" t="s">
        <v>229</v>
      </c>
      <c r="D88" s="305">
        <f t="shared" si="6"/>
        <v>2000</v>
      </c>
      <c r="E88" s="305">
        <f t="shared" si="7"/>
        <v>0</v>
      </c>
      <c r="F88" s="305">
        <v>0</v>
      </c>
      <c r="G88" s="305">
        <v>0</v>
      </c>
      <c r="H88" s="305">
        <f t="shared" si="5"/>
        <v>2000</v>
      </c>
      <c r="I88" s="310">
        <v>0</v>
      </c>
      <c r="J88" s="310">
        <v>0</v>
      </c>
      <c r="K88" s="310">
        <v>2000</v>
      </c>
      <c r="L88" s="310">
        <v>0</v>
      </c>
      <c r="O88" s="339"/>
    </row>
    <row r="89" spans="1:15" ht="48" x14ac:dyDescent="0.2">
      <c r="A89" s="1009"/>
      <c r="B89" s="1012"/>
      <c r="C89" s="220" t="s">
        <v>230</v>
      </c>
      <c r="D89" s="305">
        <f t="shared" si="6"/>
        <v>2000</v>
      </c>
      <c r="E89" s="305">
        <f t="shared" si="7"/>
        <v>0</v>
      </c>
      <c r="F89" s="305">
        <v>0</v>
      </c>
      <c r="G89" s="305">
        <v>0</v>
      </c>
      <c r="H89" s="305">
        <f t="shared" si="5"/>
        <v>2000</v>
      </c>
      <c r="I89" s="310">
        <v>0</v>
      </c>
      <c r="J89" s="310">
        <v>0</v>
      </c>
      <c r="K89" s="310">
        <v>2000</v>
      </c>
      <c r="L89" s="310">
        <v>0</v>
      </c>
      <c r="O89" s="339"/>
    </row>
    <row r="90" spans="1:15" ht="24" x14ac:dyDescent="0.2">
      <c r="A90" s="1009"/>
      <c r="B90" s="1012"/>
      <c r="C90" s="220" t="s">
        <v>231</v>
      </c>
      <c r="D90" s="305">
        <f t="shared" si="6"/>
        <v>0</v>
      </c>
      <c r="E90" s="305">
        <f t="shared" si="7"/>
        <v>0</v>
      </c>
      <c r="F90" s="305">
        <v>0</v>
      </c>
      <c r="G90" s="305">
        <v>0</v>
      </c>
      <c r="H90" s="305">
        <f t="shared" si="5"/>
        <v>0</v>
      </c>
      <c r="I90" s="310">
        <v>0</v>
      </c>
      <c r="J90" s="310">
        <v>0</v>
      </c>
      <c r="K90" s="310">
        <v>0</v>
      </c>
      <c r="L90" s="310">
        <v>0</v>
      </c>
      <c r="O90" s="339"/>
    </row>
    <row r="91" spans="1:15" ht="48" x14ac:dyDescent="0.2">
      <c r="A91" s="1010"/>
      <c r="B91" s="1013"/>
      <c r="C91" s="315" t="s">
        <v>232</v>
      </c>
      <c r="D91" s="305">
        <f t="shared" si="6"/>
        <v>0</v>
      </c>
      <c r="E91" s="305">
        <f t="shared" si="7"/>
        <v>0</v>
      </c>
      <c r="F91" s="305">
        <v>0</v>
      </c>
      <c r="G91" s="305">
        <v>0</v>
      </c>
      <c r="H91" s="305">
        <f t="shared" si="5"/>
        <v>0</v>
      </c>
      <c r="I91" s="310">
        <v>0</v>
      </c>
      <c r="J91" s="310">
        <v>0</v>
      </c>
      <c r="K91" s="310">
        <v>0</v>
      </c>
      <c r="L91" s="310">
        <v>0</v>
      </c>
      <c r="O91" s="339"/>
    </row>
    <row r="92" spans="1:15" ht="24" x14ac:dyDescent="0.2">
      <c r="A92" s="309">
        <v>80</v>
      </c>
      <c r="B92" s="224" t="s">
        <v>233</v>
      </c>
      <c r="C92" s="220" t="s">
        <v>234</v>
      </c>
      <c r="D92" s="305">
        <f t="shared" si="6"/>
        <v>0</v>
      </c>
      <c r="E92" s="305">
        <f t="shared" si="7"/>
        <v>0</v>
      </c>
      <c r="F92" s="305">
        <v>0</v>
      </c>
      <c r="G92" s="305">
        <v>0</v>
      </c>
      <c r="H92" s="305">
        <f t="shared" si="5"/>
        <v>0</v>
      </c>
      <c r="I92" s="310">
        <v>0</v>
      </c>
      <c r="J92" s="310">
        <v>0</v>
      </c>
      <c r="K92" s="310">
        <v>0</v>
      </c>
      <c r="L92" s="310">
        <v>0</v>
      </c>
      <c r="O92" s="339"/>
    </row>
    <row r="93" spans="1:15" x14ac:dyDescent="0.2">
      <c r="A93" s="309">
        <v>81</v>
      </c>
      <c r="B93" s="224" t="s">
        <v>235</v>
      </c>
      <c r="C93" s="220" t="s">
        <v>236</v>
      </c>
      <c r="D93" s="305">
        <f t="shared" si="6"/>
        <v>3578</v>
      </c>
      <c r="E93" s="305">
        <f t="shared" si="7"/>
        <v>0</v>
      </c>
      <c r="F93" s="305">
        <v>0</v>
      </c>
      <c r="G93" s="305">
        <v>0</v>
      </c>
      <c r="H93" s="305">
        <f t="shared" si="5"/>
        <v>3578</v>
      </c>
      <c r="I93" s="310">
        <v>200</v>
      </c>
      <c r="J93" s="310">
        <v>100</v>
      </c>
      <c r="K93" s="310">
        <v>3278</v>
      </c>
      <c r="L93" s="310">
        <v>0</v>
      </c>
      <c r="O93" s="339"/>
    </row>
    <row r="94" spans="1:15" x14ac:dyDescent="0.2">
      <c r="A94" s="309">
        <v>82</v>
      </c>
      <c r="B94" s="219" t="s">
        <v>74</v>
      </c>
      <c r="C94" s="220" t="s">
        <v>237</v>
      </c>
      <c r="D94" s="305">
        <f t="shared" si="6"/>
        <v>5000</v>
      </c>
      <c r="E94" s="305">
        <f t="shared" si="7"/>
        <v>0</v>
      </c>
      <c r="F94" s="305">
        <v>0</v>
      </c>
      <c r="G94" s="305">
        <v>0</v>
      </c>
      <c r="H94" s="305">
        <f t="shared" si="5"/>
        <v>5000</v>
      </c>
      <c r="I94" s="310">
        <v>535</v>
      </c>
      <c r="J94" s="310">
        <v>356</v>
      </c>
      <c r="K94" s="310">
        <v>4109</v>
      </c>
      <c r="L94" s="310">
        <v>0</v>
      </c>
      <c r="O94" s="339"/>
    </row>
    <row r="95" spans="1:15" x14ac:dyDescent="0.2">
      <c r="A95" s="309">
        <v>83</v>
      </c>
      <c r="B95" s="224" t="s">
        <v>38</v>
      </c>
      <c r="C95" s="220" t="s">
        <v>39</v>
      </c>
      <c r="D95" s="305">
        <f t="shared" si="6"/>
        <v>8900</v>
      </c>
      <c r="E95" s="305">
        <f t="shared" si="7"/>
        <v>0</v>
      </c>
      <c r="F95" s="305">
        <v>0</v>
      </c>
      <c r="G95" s="305">
        <v>0</v>
      </c>
      <c r="H95" s="305">
        <f t="shared" si="5"/>
        <v>8900</v>
      </c>
      <c r="I95" s="310">
        <v>1850</v>
      </c>
      <c r="J95" s="310">
        <v>850</v>
      </c>
      <c r="K95" s="310">
        <v>6200</v>
      </c>
      <c r="L95" s="310">
        <v>0</v>
      </c>
      <c r="O95" s="339"/>
    </row>
    <row r="96" spans="1:15" x14ac:dyDescent="0.2">
      <c r="A96" s="309">
        <v>84</v>
      </c>
      <c r="B96" s="219" t="s">
        <v>40</v>
      </c>
      <c r="C96" s="220" t="s">
        <v>41</v>
      </c>
      <c r="D96" s="305">
        <f t="shared" si="6"/>
        <v>9563</v>
      </c>
      <c r="E96" s="305">
        <f t="shared" si="7"/>
        <v>0</v>
      </c>
      <c r="F96" s="305">
        <v>0</v>
      </c>
      <c r="G96" s="305">
        <v>0</v>
      </c>
      <c r="H96" s="305">
        <f t="shared" si="5"/>
        <v>9563</v>
      </c>
      <c r="I96" s="310">
        <v>1146</v>
      </c>
      <c r="J96" s="310">
        <v>132</v>
      </c>
      <c r="K96" s="310">
        <v>8285</v>
      </c>
      <c r="L96" s="310">
        <v>0</v>
      </c>
      <c r="O96" s="339"/>
    </row>
    <row r="97" spans="1:15" x14ac:dyDescent="0.2">
      <c r="A97" s="309">
        <v>85</v>
      </c>
      <c r="B97" s="219" t="s">
        <v>238</v>
      </c>
      <c r="C97" s="220" t="s">
        <v>239</v>
      </c>
      <c r="D97" s="305">
        <f t="shared" si="6"/>
        <v>26750</v>
      </c>
      <c r="E97" s="305">
        <f t="shared" si="7"/>
        <v>0</v>
      </c>
      <c r="F97" s="305">
        <v>0</v>
      </c>
      <c r="G97" s="305">
        <v>0</v>
      </c>
      <c r="H97" s="305">
        <f t="shared" si="5"/>
        <v>26750</v>
      </c>
      <c r="I97" s="310">
        <v>3807</v>
      </c>
      <c r="J97" s="310">
        <v>1989</v>
      </c>
      <c r="K97" s="310">
        <v>20954</v>
      </c>
      <c r="L97" s="310">
        <v>0</v>
      </c>
      <c r="O97" s="339"/>
    </row>
    <row r="98" spans="1:15" x14ac:dyDescent="0.2">
      <c r="A98" s="309">
        <v>86</v>
      </c>
      <c r="B98" s="224" t="s">
        <v>240</v>
      </c>
      <c r="C98" s="220" t="s">
        <v>241</v>
      </c>
      <c r="D98" s="305">
        <f t="shared" si="6"/>
        <v>10440</v>
      </c>
      <c r="E98" s="305">
        <f t="shared" si="7"/>
        <v>0</v>
      </c>
      <c r="F98" s="305">
        <v>0</v>
      </c>
      <c r="G98" s="305">
        <v>0</v>
      </c>
      <c r="H98" s="305">
        <f t="shared" si="5"/>
        <v>10440</v>
      </c>
      <c r="I98" s="310">
        <v>1400</v>
      </c>
      <c r="J98" s="310">
        <v>700</v>
      </c>
      <c r="K98" s="310">
        <v>8340</v>
      </c>
      <c r="L98" s="310">
        <v>0</v>
      </c>
      <c r="O98" s="339"/>
    </row>
    <row r="99" spans="1:15" x14ac:dyDescent="0.2">
      <c r="A99" s="309">
        <v>87</v>
      </c>
      <c r="B99" s="224" t="s">
        <v>88</v>
      </c>
      <c r="C99" s="220" t="s">
        <v>89</v>
      </c>
      <c r="D99" s="305">
        <f t="shared" si="6"/>
        <v>11540</v>
      </c>
      <c r="E99" s="305">
        <f t="shared" si="7"/>
        <v>0</v>
      </c>
      <c r="F99" s="305">
        <v>0</v>
      </c>
      <c r="G99" s="305">
        <v>0</v>
      </c>
      <c r="H99" s="305">
        <f t="shared" si="5"/>
        <v>11540</v>
      </c>
      <c r="I99" s="310">
        <v>3275</v>
      </c>
      <c r="J99" s="310">
        <v>1165</v>
      </c>
      <c r="K99" s="310">
        <v>7100</v>
      </c>
      <c r="L99" s="310">
        <v>0</v>
      </c>
      <c r="O99" s="339"/>
    </row>
    <row r="100" spans="1:15" x14ac:dyDescent="0.2">
      <c r="A100" s="309">
        <v>88</v>
      </c>
      <c r="B100" s="222" t="s">
        <v>242</v>
      </c>
      <c r="C100" s="220" t="s">
        <v>243</v>
      </c>
      <c r="D100" s="305">
        <f t="shared" si="6"/>
        <v>39600</v>
      </c>
      <c r="E100" s="305">
        <f t="shared" si="7"/>
        <v>0</v>
      </c>
      <c r="F100" s="305">
        <v>0</v>
      </c>
      <c r="G100" s="305">
        <v>0</v>
      </c>
      <c r="H100" s="305">
        <f t="shared" si="5"/>
        <v>39600</v>
      </c>
      <c r="I100" s="310">
        <v>1545</v>
      </c>
      <c r="J100" s="310">
        <v>2100</v>
      </c>
      <c r="K100" s="310">
        <v>35955</v>
      </c>
      <c r="L100" s="310">
        <v>0</v>
      </c>
      <c r="O100" s="339"/>
    </row>
    <row r="101" spans="1:15" x14ac:dyDescent="0.2">
      <c r="A101" s="309">
        <v>89</v>
      </c>
      <c r="B101" s="222" t="s">
        <v>244</v>
      </c>
      <c r="C101" s="220" t="s">
        <v>245</v>
      </c>
      <c r="D101" s="305">
        <f t="shared" si="6"/>
        <v>35034</v>
      </c>
      <c r="E101" s="305">
        <f t="shared" si="7"/>
        <v>0</v>
      </c>
      <c r="F101" s="305">
        <v>0</v>
      </c>
      <c r="G101" s="305">
        <v>0</v>
      </c>
      <c r="H101" s="305">
        <f t="shared" si="5"/>
        <v>35034</v>
      </c>
      <c r="I101" s="310">
        <v>7141</v>
      </c>
      <c r="J101" s="310">
        <v>1500</v>
      </c>
      <c r="K101" s="310">
        <v>26393</v>
      </c>
      <c r="L101" s="310">
        <v>0</v>
      </c>
      <c r="O101" s="339"/>
    </row>
    <row r="102" spans="1:15" x14ac:dyDescent="0.2">
      <c r="A102" s="309">
        <v>90</v>
      </c>
      <c r="B102" s="219" t="s">
        <v>246</v>
      </c>
      <c r="C102" s="220" t="s">
        <v>247</v>
      </c>
      <c r="D102" s="305">
        <f t="shared" si="6"/>
        <v>9740</v>
      </c>
      <c r="E102" s="305">
        <f t="shared" si="7"/>
        <v>0</v>
      </c>
      <c r="F102" s="305">
        <v>0</v>
      </c>
      <c r="G102" s="305">
        <v>0</v>
      </c>
      <c r="H102" s="305">
        <f t="shared" si="5"/>
        <v>9740</v>
      </c>
      <c r="I102" s="310">
        <v>1540</v>
      </c>
      <c r="J102" s="310">
        <v>4370</v>
      </c>
      <c r="K102" s="310">
        <v>3830</v>
      </c>
      <c r="L102" s="310">
        <v>0</v>
      </c>
      <c r="O102" s="339"/>
    </row>
    <row r="103" spans="1:15" x14ac:dyDescent="0.2">
      <c r="A103" s="309">
        <v>91</v>
      </c>
      <c r="B103" s="222" t="s">
        <v>248</v>
      </c>
      <c r="C103" s="220" t="s">
        <v>249</v>
      </c>
      <c r="D103" s="305">
        <f t="shared" si="6"/>
        <v>13534</v>
      </c>
      <c r="E103" s="305">
        <f t="shared" si="7"/>
        <v>0</v>
      </c>
      <c r="F103" s="305">
        <v>0</v>
      </c>
      <c r="G103" s="305">
        <v>0</v>
      </c>
      <c r="H103" s="305">
        <f t="shared" si="5"/>
        <v>13534</v>
      </c>
      <c r="I103" s="310">
        <v>2250</v>
      </c>
      <c r="J103" s="310">
        <v>620</v>
      </c>
      <c r="K103" s="310">
        <v>10664</v>
      </c>
      <c r="L103" s="310">
        <v>0</v>
      </c>
      <c r="O103" s="339"/>
    </row>
    <row r="104" spans="1:15" x14ac:dyDescent="0.2">
      <c r="A104" s="309">
        <v>92</v>
      </c>
      <c r="B104" s="222" t="s">
        <v>250</v>
      </c>
      <c r="C104" s="220" t="s">
        <v>251</v>
      </c>
      <c r="D104" s="305">
        <f t="shared" si="6"/>
        <v>10200</v>
      </c>
      <c r="E104" s="305">
        <f t="shared" si="7"/>
        <v>0</v>
      </c>
      <c r="F104" s="305">
        <v>0</v>
      </c>
      <c r="G104" s="305">
        <v>0</v>
      </c>
      <c r="H104" s="305">
        <f t="shared" si="5"/>
        <v>10200</v>
      </c>
      <c r="I104" s="310">
        <v>1794</v>
      </c>
      <c r="J104" s="310">
        <v>777</v>
      </c>
      <c r="K104" s="310">
        <v>7629</v>
      </c>
      <c r="L104" s="310">
        <v>0</v>
      </c>
      <c r="O104" s="339"/>
    </row>
    <row r="105" spans="1:15" x14ac:dyDescent="0.2">
      <c r="A105" s="309">
        <v>93</v>
      </c>
      <c r="B105" s="224" t="s">
        <v>32</v>
      </c>
      <c r="C105" s="220" t="s">
        <v>33</v>
      </c>
      <c r="D105" s="305">
        <f t="shared" si="6"/>
        <v>24664</v>
      </c>
      <c r="E105" s="305">
        <f t="shared" si="7"/>
        <v>0</v>
      </c>
      <c r="F105" s="305">
        <v>0</v>
      </c>
      <c r="G105" s="305">
        <v>0</v>
      </c>
      <c r="H105" s="305">
        <f t="shared" si="5"/>
        <v>18529</v>
      </c>
      <c r="I105" s="310">
        <v>2569</v>
      </c>
      <c r="J105" s="310">
        <v>300</v>
      </c>
      <c r="K105" s="310">
        <v>15660</v>
      </c>
      <c r="L105" s="310">
        <v>6135</v>
      </c>
      <c r="O105" s="339"/>
    </row>
    <row r="106" spans="1:15" x14ac:dyDescent="0.2">
      <c r="A106" s="309">
        <v>94</v>
      </c>
      <c r="B106" s="219" t="s">
        <v>252</v>
      </c>
      <c r="C106" s="220" t="s">
        <v>253</v>
      </c>
      <c r="D106" s="305">
        <f t="shared" si="6"/>
        <v>10316</v>
      </c>
      <c r="E106" s="305">
        <f t="shared" si="7"/>
        <v>0</v>
      </c>
      <c r="F106" s="305">
        <v>0</v>
      </c>
      <c r="G106" s="305">
        <v>0</v>
      </c>
      <c r="H106" s="305">
        <f t="shared" si="5"/>
        <v>10316</v>
      </c>
      <c r="I106" s="310">
        <v>2710</v>
      </c>
      <c r="J106" s="310">
        <v>2095</v>
      </c>
      <c r="K106" s="310">
        <v>5511</v>
      </c>
      <c r="L106" s="310">
        <v>0</v>
      </c>
      <c r="O106" s="339"/>
    </row>
    <row r="107" spans="1:15" x14ac:dyDescent="0.2">
      <c r="A107" s="309">
        <v>95</v>
      </c>
      <c r="B107" s="219" t="s">
        <v>254</v>
      </c>
      <c r="C107" s="220" t="s">
        <v>255</v>
      </c>
      <c r="D107" s="305">
        <f t="shared" si="6"/>
        <v>11286</v>
      </c>
      <c r="E107" s="305">
        <f t="shared" si="7"/>
        <v>0</v>
      </c>
      <c r="F107" s="305">
        <v>0</v>
      </c>
      <c r="G107" s="305">
        <v>0</v>
      </c>
      <c r="H107" s="305">
        <f t="shared" si="5"/>
        <v>11286</v>
      </c>
      <c r="I107" s="310">
        <v>1630</v>
      </c>
      <c r="J107" s="310">
        <v>915</v>
      </c>
      <c r="K107" s="310">
        <v>8741</v>
      </c>
      <c r="L107" s="310">
        <v>0</v>
      </c>
      <c r="O107" s="339"/>
    </row>
    <row r="108" spans="1:15" x14ac:dyDescent="0.2">
      <c r="A108" s="309">
        <v>96</v>
      </c>
      <c r="B108" s="222" t="s">
        <v>256</v>
      </c>
      <c r="C108" s="220" t="s">
        <v>257</v>
      </c>
      <c r="D108" s="305">
        <f t="shared" si="6"/>
        <v>25359</v>
      </c>
      <c r="E108" s="305">
        <f t="shared" si="7"/>
        <v>0</v>
      </c>
      <c r="F108" s="305">
        <v>0</v>
      </c>
      <c r="G108" s="305">
        <v>0</v>
      </c>
      <c r="H108" s="305">
        <f t="shared" si="5"/>
        <v>25359</v>
      </c>
      <c r="I108" s="310">
        <v>820</v>
      </c>
      <c r="J108" s="310">
        <v>1719</v>
      </c>
      <c r="K108" s="310">
        <v>22820</v>
      </c>
      <c r="L108" s="310">
        <v>0</v>
      </c>
      <c r="O108" s="339"/>
    </row>
    <row r="109" spans="1:15" x14ac:dyDescent="0.2">
      <c r="A109" s="309">
        <v>97</v>
      </c>
      <c r="B109" s="224" t="s">
        <v>76</v>
      </c>
      <c r="C109" s="220" t="s">
        <v>77</v>
      </c>
      <c r="D109" s="305">
        <f t="shared" si="6"/>
        <v>5473</v>
      </c>
      <c r="E109" s="305">
        <f t="shared" si="7"/>
        <v>0</v>
      </c>
      <c r="F109" s="305">
        <v>0</v>
      </c>
      <c r="G109" s="305">
        <v>0</v>
      </c>
      <c r="H109" s="305">
        <f t="shared" si="5"/>
        <v>5473</v>
      </c>
      <c r="I109" s="310">
        <v>1530</v>
      </c>
      <c r="J109" s="310">
        <v>600</v>
      </c>
      <c r="K109" s="310">
        <v>3343</v>
      </c>
      <c r="L109" s="310">
        <v>0</v>
      </c>
      <c r="O109" s="339"/>
    </row>
    <row r="110" spans="1:15" x14ac:dyDescent="0.2">
      <c r="A110" s="309">
        <v>98</v>
      </c>
      <c r="B110" s="222" t="s">
        <v>258</v>
      </c>
      <c r="C110" s="220" t="s">
        <v>259</v>
      </c>
      <c r="D110" s="305">
        <f t="shared" si="6"/>
        <v>0</v>
      </c>
      <c r="E110" s="305">
        <f t="shared" si="7"/>
        <v>0</v>
      </c>
      <c r="F110" s="305">
        <v>0</v>
      </c>
      <c r="G110" s="305">
        <v>0</v>
      </c>
      <c r="H110" s="305">
        <f t="shared" si="5"/>
        <v>0</v>
      </c>
      <c r="I110" s="310">
        <v>0</v>
      </c>
      <c r="J110" s="310">
        <v>0</v>
      </c>
      <c r="K110" s="310">
        <v>0</v>
      </c>
      <c r="L110" s="310">
        <v>0</v>
      </c>
      <c r="O110" s="339"/>
    </row>
    <row r="111" spans="1:15" x14ac:dyDescent="0.2">
      <c r="A111" s="309">
        <v>99</v>
      </c>
      <c r="B111" s="222" t="s">
        <v>260</v>
      </c>
      <c r="C111" s="220" t="s">
        <v>261</v>
      </c>
      <c r="D111" s="305">
        <f t="shared" si="6"/>
        <v>0</v>
      </c>
      <c r="E111" s="305">
        <f t="shared" si="7"/>
        <v>0</v>
      </c>
      <c r="F111" s="305">
        <v>0</v>
      </c>
      <c r="G111" s="305">
        <v>0</v>
      </c>
      <c r="H111" s="305">
        <f t="shared" si="5"/>
        <v>0</v>
      </c>
      <c r="I111" s="310">
        <v>0</v>
      </c>
      <c r="J111" s="310">
        <v>0</v>
      </c>
      <c r="K111" s="310">
        <v>0</v>
      </c>
      <c r="L111" s="310">
        <v>0</v>
      </c>
      <c r="O111" s="339"/>
    </row>
    <row r="112" spans="1:15" x14ac:dyDescent="0.2">
      <c r="A112" s="309">
        <v>100</v>
      </c>
      <c r="B112" s="219" t="s">
        <v>264</v>
      </c>
      <c r="C112" s="220" t="s">
        <v>265</v>
      </c>
      <c r="D112" s="305">
        <f t="shared" si="6"/>
        <v>0</v>
      </c>
      <c r="E112" s="305">
        <f t="shared" si="7"/>
        <v>0</v>
      </c>
      <c r="F112" s="305">
        <v>0</v>
      </c>
      <c r="G112" s="305">
        <v>0</v>
      </c>
      <c r="H112" s="305">
        <f t="shared" si="5"/>
        <v>0</v>
      </c>
      <c r="I112" s="310">
        <v>0</v>
      </c>
      <c r="J112" s="310">
        <v>0</v>
      </c>
      <c r="K112" s="310">
        <v>0</v>
      </c>
      <c r="L112" s="310">
        <v>0</v>
      </c>
      <c r="O112" s="339"/>
    </row>
    <row r="113" spans="1:15" x14ac:dyDescent="0.2">
      <c r="A113" s="309">
        <v>101</v>
      </c>
      <c r="B113" s="219" t="s">
        <v>266</v>
      </c>
      <c r="C113" s="220" t="s">
        <v>267</v>
      </c>
      <c r="D113" s="305">
        <f t="shared" si="6"/>
        <v>0</v>
      </c>
      <c r="E113" s="305">
        <f t="shared" si="7"/>
        <v>0</v>
      </c>
      <c r="F113" s="305">
        <v>0</v>
      </c>
      <c r="G113" s="305">
        <v>0</v>
      </c>
      <c r="H113" s="305">
        <f t="shared" si="5"/>
        <v>0</v>
      </c>
      <c r="I113" s="310">
        <v>0</v>
      </c>
      <c r="J113" s="310">
        <v>0</v>
      </c>
      <c r="K113" s="310">
        <v>0</v>
      </c>
      <c r="L113" s="310">
        <v>0</v>
      </c>
      <c r="O113" s="339"/>
    </row>
    <row r="114" spans="1:15" ht="24" x14ac:dyDescent="0.2">
      <c r="A114" s="309">
        <v>102</v>
      </c>
      <c r="B114" s="219" t="s">
        <v>268</v>
      </c>
      <c r="C114" s="220" t="s">
        <v>269</v>
      </c>
      <c r="D114" s="305">
        <f t="shared" si="6"/>
        <v>0</v>
      </c>
      <c r="E114" s="305">
        <f t="shared" si="7"/>
        <v>0</v>
      </c>
      <c r="F114" s="305">
        <v>0</v>
      </c>
      <c r="G114" s="305">
        <v>0</v>
      </c>
      <c r="H114" s="305">
        <f t="shared" si="5"/>
        <v>0</v>
      </c>
      <c r="I114" s="310">
        <v>0</v>
      </c>
      <c r="J114" s="310">
        <v>0</v>
      </c>
      <c r="K114" s="310">
        <v>0</v>
      </c>
      <c r="L114" s="310">
        <v>0</v>
      </c>
      <c r="O114" s="339"/>
    </row>
    <row r="115" spans="1:15" x14ac:dyDescent="0.2">
      <c r="A115" s="309">
        <v>103</v>
      </c>
      <c r="B115" s="219" t="s">
        <v>270</v>
      </c>
      <c r="C115" s="220" t="s">
        <v>271</v>
      </c>
      <c r="D115" s="305">
        <f t="shared" si="6"/>
        <v>0</v>
      </c>
      <c r="E115" s="305">
        <f t="shared" si="7"/>
        <v>0</v>
      </c>
      <c r="F115" s="305">
        <v>0</v>
      </c>
      <c r="G115" s="305">
        <v>0</v>
      </c>
      <c r="H115" s="305">
        <f t="shared" si="5"/>
        <v>0</v>
      </c>
      <c r="I115" s="310">
        <v>0</v>
      </c>
      <c r="J115" s="310">
        <v>0</v>
      </c>
      <c r="K115" s="310">
        <v>0</v>
      </c>
      <c r="L115" s="310">
        <v>0</v>
      </c>
      <c r="O115" s="339"/>
    </row>
    <row r="116" spans="1:15" x14ac:dyDescent="0.2">
      <c r="A116" s="309">
        <v>104</v>
      </c>
      <c r="B116" s="219" t="s">
        <v>272</v>
      </c>
      <c r="C116" s="220" t="s">
        <v>273</v>
      </c>
      <c r="D116" s="305">
        <f t="shared" si="6"/>
        <v>0</v>
      </c>
      <c r="E116" s="305">
        <f t="shared" si="7"/>
        <v>0</v>
      </c>
      <c r="F116" s="305">
        <v>0</v>
      </c>
      <c r="G116" s="305">
        <v>0</v>
      </c>
      <c r="H116" s="305">
        <f t="shared" si="5"/>
        <v>0</v>
      </c>
      <c r="I116" s="310">
        <v>0</v>
      </c>
      <c r="J116" s="310">
        <v>0</v>
      </c>
      <c r="K116" s="310">
        <v>0</v>
      </c>
      <c r="L116" s="310">
        <v>0</v>
      </c>
      <c r="O116" s="339"/>
    </row>
    <row r="117" spans="1:15" x14ac:dyDescent="0.2">
      <c r="A117" s="309">
        <v>105</v>
      </c>
      <c r="B117" s="316" t="s">
        <v>274</v>
      </c>
      <c r="C117" s="313" t="s">
        <v>275</v>
      </c>
      <c r="D117" s="305">
        <f t="shared" si="6"/>
        <v>0</v>
      </c>
      <c r="E117" s="305">
        <f t="shared" si="7"/>
        <v>0</v>
      </c>
      <c r="F117" s="305">
        <v>0</v>
      </c>
      <c r="G117" s="305">
        <v>0</v>
      </c>
      <c r="H117" s="305">
        <f t="shared" si="5"/>
        <v>0</v>
      </c>
      <c r="I117" s="310">
        <v>0</v>
      </c>
      <c r="J117" s="310">
        <v>0</v>
      </c>
      <c r="K117" s="310">
        <v>0</v>
      </c>
      <c r="L117" s="310">
        <v>0</v>
      </c>
      <c r="O117" s="339"/>
    </row>
    <row r="118" spans="1:15" x14ac:dyDescent="0.2">
      <c r="A118" s="309">
        <v>106</v>
      </c>
      <c r="B118" s="224" t="s">
        <v>276</v>
      </c>
      <c r="C118" s="220" t="s">
        <v>277</v>
      </c>
      <c r="D118" s="305">
        <f t="shared" si="6"/>
        <v>0</v>
      </c>
      <c r="E118" s="305">
        <f t="shared" si="7"/>
        <v>0</v>
      </c>
      <c r="F118" s="305">
        <v>0</v>
      </c>
      <c r="G118" s="305">
        <v>0</v>
      </c>
      <c r="H118" s="305">
        <f t="shared" si="5"/>
        <v>0</v>
      </c>
      <c r="I118" s="310">
        <v>0</v>
      </c>
      <c r="J118" s="310">
        <v>0</v>
      </c>
      <c r="K118" s="310">
        <v>0</v>
      </c>
      <c r="L118" s="310">
        <v>0</v>
      </c>
      <c r="O118" s="339"/>
    </row>
    <row r="119" spans="1:15" x14ac:dyDescent="0.2">
      <c r="A119" s="309">
        <v>107</v>
      </c>
      <c r="B119" s="219" t="s">
        <v>278</v>
      </c>
      <c r="C119" s="220" t="s">
        <v>279</v>
      </c>
      <c r="D119" s="305">
        <f t="shared" si="6"/>
        <v>0</v>
      </c>
      <c r="E119" s="305">
        <f t="shared" si="7"/>
        <v>0</v>
      </c>
      <c r="F119" s="305">
        <v>0</v>
      </c>
      <c r="G119" s="305">
        <v>0</v>
      </c>
      <c r="H119" s="305">
        <f t="shared" si="5"/>
        <v>0</v>
      </c>
      <c r="I119" s="310">
        <v>0</v>
      </c>
      <c r="J119" s="310">
        <v>0</v>
      </c>
      <c r="K119" s="310">
        <v>0</v>
      </c>
      <c r="L119" s="310">
        <v>0</v>
      </c>
      <c r="O119" s="339"/>
    </row>
    <row r="120" spans="1:15" ht="24" x14ac:dyDescent="0.2">
      <c r="A120" s="309">
        <v>108</v>
      </c>
      <c r="B120" s="222" t="s">
        <v>280</v>
      </c>
      <c r="C120" s="317" t="s">
        <v>281</v>
      </c>
      <c r="D120" s="305">
        <f t="shared" si="6"/>
        <v>0</v>
      </c>
      <c r="E120" s="305">
        <f t="shared" si="7"/>
        <v>0</v>
      </c>
      <c r="F120" s="305">
        <v>0</v>
      </c>
      <c r="G120" s="305">
        <v>0</v>
      </c>
      <c r="H120" s="305">
        <f t="shared" si="5"/>
        <v>0</v>
      </c>
      <c r="I120" s="310">
        <v>0</v>
      </c>
      <c r="J120" s="310">
        <v>0</v>
      </c>
      <c r="K120" s="310">
        <v>0</v>
      </c>
      <c r="L120" s="310">
        <v>0</v>
      </c>
      <c r="O120" s="339"/>
    </row>
    <row r="121" spans="1:15" x14ac:dyDescent="0.2">
      <c r="A121" s="309">
        <v>109</v>
      </c>
      <c r="B121" s="219" t="s">
        <v>282</v>
      </c>
      <c r="C121" s="220" t="s">
        <v>283</v>
      </c>
      <c r="D121" s="305">
        <f t="shared" si="6"/>
        <v>0</v>
      </c>
      <c r="E121" s="305">
        <f t="shared" si="7"/>
        <v>0</v>
      </c>
      <c r="F121" s="305">
        <v>0</v>
      </c>
      <c r="G121" s="305">
        <v>0</v>
      </c>
      <c r="H121" s="305">
        <f t="shared" si="5"/>
        <v>0</v>
      </c>
      <c r="I121" s="310">
        <v>0</v>
      </c>
      <c r="J121" s="310">
        <v>0</v>
      </c>
      <c r="K121" s="310">
        <v>0</v>
      </c>
      <c r="L121" s="310">
        <v>0</v>
      </c>
      <c r="O121" s="339"/>
    </row>
    <row r="122" spans="1:15" x14ac:dyDescent="0.2">
      <c r="A122" s="309">
        <v>110</v>
      </c>
      <c r="B122" s="224" t="s">
        <v>284</v>
      </c>
      <c r="C122" s="220" t="s">
        <v>285</v>
      </c>
      <c r="D122" s="305">
        <f t="shared" si="6"/>
        <v>0</v>
      </c>
      <c r="E122" s="305">
        <f t="shared" si="7"/>
        <v>0</v>
      </c>
      <c r="F122" s="305">
        <v>0</v>
      </c>
      <c r="G122" s="305">
        <v>0</v>
      </c>
      <c r="H122" s="305">
        <f t="shared" si="5"/>
        <v>0</v>
      </c>
      <c r="I122" s="310">
        <v>0</v>
      </c>
      <c r="J122" s="310">
        <v>0</v>
      </c>
      <c r="K122" s="310">
        <v>0</v>
      </c>
      <c r="L122" s="310">
        <v>0</v>
      </c>
      <c r="O122" s="339"/>
    </row>
    <row r="123" spans="1:15" x14ac:dyDescent="0.2">
      <c r="A123" s="309">
        <v>111</v>
      </c>
      <c r="B123" s="222" t="s">
        <v>780</v>
      </c>
      <c r="C123" s="220" t="s">
        <v>737</v>
      </c>
      <c r="D123" s="305">
        <f t="shared" si="6"/>
        <v>0</v>
      </c>
      <c r="E123" s="305">
        <f t="shared" si="7"/>
        <v>0</v>
      </c>
      <c r="F123" s="305">
        <v>0</v>
      </c>
      <c r="G123" s="305">
        <v>0</v>
      </c>
      <c r="H123" s="305">
        <f t="shared" si="5"/>
        <v>0</v>
      </c>
      <c r="I123" s="310">
        <v>0</v>
      </c>
      <c r="J123" s="310">
        <v>0</v>
      </c>
      <c r="K123" s="310">
        <v>0</v>
      </c>
      <c r="L123" s="310">
        <v>0</v>
      </c>
      <c r="O123" s="339"/>
    </row>
    <row r="124" spans="1:15" x14ac:dyDescent="0.2">
      <c r="A124" s="309">
        <v>112</v>
      </c>
      <c r="B124" s="224" t="s">
        <v>286</v>
      </c>
      <c r="C124" s="220" t="s">
        <v>287</v>
      </c>
      <c r="D124" s="305">
        <f t="shared" si="6"/>
        <v>0</v>
      </c>
      <c r="E124" s="305">
        <f t="shared" si="7"/>
        <v>0</v>
      </c>
      <c r="F124" s="305">
        <v>0</v>
      </c>
      <c r="G124" s="305">
        <v>0</v>
      </c>
      <c r="H124" s="305">
        <f t="shared" si="5"/>
        <v>0</v>
      </c>
      <c r="I124" s="310">
        <v>0</v>
      </c>
      <c r="J124" s="310">
        <v>0</v>
      </c>
      <c r="K124" s="310">
        <v>0</v>
      </c>
      <c r="L124" s="310">
        <v>0</v>
      </c>
      <c r="O124" s="339"/>
    </row>
    <row r="125" spans="1:15" x14ac:dyDescent="0.2">
      <c r="A125" s="309">
        <v>113</v>
      </c>
      <c r="B125" s="224" t="s">
        <v>288</v>
      </c>
      <c r="C125" s="220" t="s">
        <v>738</v>
      </c>
      <c r="D125" s="305">
        <f t="shared" si="6"/>
        <v>0</v>
      </c>
      <c r="E125" s="305">
        <f t="shared" si="7"/>
        <v>0</v>
      </c>
      <c r="F125" s="305">
        <v>0</v>
      </c>
      <c r="G125" s="305">
        <v>0</v>
      </c>
      <c r="H125" s="305">
        <f t="shared" si="5"/>
        <v>0</v>
      </c>
      <c r="I125" s="310">
        <v>0</v>
      </c>
      <c r="J125" s="310">
        <v>0</v>
      </c>
      <c r="K125" s="310">
        <v>0</v>
      </c>
      <c r="L125" s="310">
        <v>0</v>
      </c>
      <c r="O125" s="339"/>
    </row>
    <row r="126" spans="1:15" x14ac:dyDescent="0.2">
      <c r="A126" s="309">
        <v>114</v>
      </c>
      <c r="B126" s="219" t="s">
        <v>290</v>
      </c>
      <c r="C126" s="220" t="s">
        <v>291</v>
      </c>
      <c r="D126" s="305">
        <f t="shared" si="6"/>
        <v>0</v>
      </c>
      <c r="E126" s="305">
        <f t="shared" si="7"/>
        <v>0</v>
      </c>
      <c r="F126" s="305">
        <v>0</v>
      </c>
      <c r="G126" s="305">
        <v>0</v>
      </c>
      <c r="H126" s="305">
        <f t="shared" si="5"/>
        <v>0</v>
      </c>
      <c r="I126" s="310">
        <v>0</v>
      </c>
      <c r="J126" s="310">
        <v>0</v>
      </c>
      <c r="K126" s="310">
        <v>0</v>
      </c>
      <c r="L126" s="310">
        <v>0</v>
      </c>
      <c r="O126" s="339"/>
    </row>
    <row r="127" spans="1:15" ht="24" x14ac:dyDescent="0.2">
      <c r="A127" s="309">
        <v>115</v>
      </c>
      <c r="B127" s="219" t="s">
        <v>292</v>
      </c>
      <c r="C127" s="311" t="s">
        <v>293</v>
      </c>
      <c r="D127" s="305">
        <f t="shared" si="6"/>
        <v>0</v>
      </c>
      <c r="E127" s="305">
        <f t="shared" si="7"/>
        <v>0</v>
      </c>
      <c r="F127" s="305">
        <v>0</v>
      </c>
      <c r="G127" s="305">
        <v>0</v>
      </c>
      <c r="H127" s="305">
        <f t="shared" si="5"/>
        <v>0</v>
      </c>
      <c r="I127" s="310">
        <v>0</v>
      </c>
      <c r="J127" s="310">
        <v>0</v>
      </c>
      <c r="K127" s="310">
        <v>0</v>
      </c>
      <c r="L127" s="310">
        <v>0</v>
      </c>
      <c r="O127" s="339"/>
    </row>
    <row r="128" spans="1:15" x14ac:dyDescent="0.2">
      <c r="A128" s="309">
        <v>116</v>
      </c>
      <c r="B128" s="219" t="s">
        <v>294</v>
      </c>
      <c r="C128" s="220" t="s">
        <v>295</v>
      </c>
      <c r="D128" s="305">
        <f t="shared" si="6"/>
        <v>0</v>
      </c>
      <c r="E128" s="305">
        <f t="shared" si="7"/>
        <v>0</v>
      </c>
      <c r="F128" s="305">
        <v>0</v>
      </c>
      <c r="G128" s="305">
        <v>0</v>
      </c>
      <c r="H128" s="305">
        <f t="shared" si="5"/>
        <v>0</v>
      </c>
      <c r="I128" s="310">
        <v>0</v>
      </c>
      <c r="J128" s="310">
        <v>0</v>
      </c>
      <c r="K128" s="310">
        <v>0</v>
      </c>
      <c r="L128" s="310">
        <v>0</v>
      </c>
      <c r="O128" s="339"/>
    </row>
    <row r="129" spans="1:15" x14ac:dyDescent="0.2">
      <c r="A129" s="309">
        <v>117</v>
      </c>
      <c r="B129" s="219" t="s">
        <v>70</v>
      </c>
      <c r="C129" s="220" t="s">
        <v>296</v>
      </c>
      <c r="D129" s="305">
        <f t="shared" si="6"/>
        <v>0</v>
      </c>
      <c r="E129" s="305">
        <f t="shared" si="7"/>
        <v>0</v>
      </c>
      <c r="F129" s="305">
        <v>0</v>
      </c>
      <c r="G129" s="305">
        <v>0</v>
      </c>
      <c r="H129" s="305">
        <f t="shared" si="5"/>
        <v>0</v>
      </c>
      <c r="I129" s="310">
        <v>0</v>
      </c>
      <c r="J129" s="310">
        <v>0</v>
      </c>
      <c r="K129" s="310">
        <v>0</v>
      </c>
      <c r="L129" s="310">
        <v>0</v>
      </c>
      <c r="O129" s="339"/>
    </row>
    <row r="130" spans="1:15" x14ac:dyDescent="0.2">
      <c r="A130" s="309">
        <v>118</v>
      </c>
      <c r="B130" s="219" t="s">
        <v>72</v>
      </c>
      <c r="C130" s="220" t="s">
        <v>73</v>
      </c>
      <c r="D130" s="305">
        <f t="shared" si="6"/>
        <v>0</v>
      </c>
      <c r="E130" s="305">
        <f t="shared" si="7"/>
        <v>0</v>
      </c>
      <c r="F130" s="305">
        <v>0</v>
      </c>
      <c r="G130" s="305">
        <v>0</v>
      </c>
      <c r="H130" s="305">
        <f t="shared" si="5"/>
        <v>0</v>
      </c>
      <c r="I130" s="310">
        <v>0</v>
      </c>
      <c r="J130" s="310">
        <v>0</v>
      </c>
      <c r="K130" s="310">
        <v>0</v>
      </c>
      <c r="L130" s="310">
        <v>0</v>
      </c>
      <c r="O130" s="339"/>
    </row>
    <row r="131" spans="1:15" x14ac:dyDescent="0.2">
      <c r="A131" s="309">
        <v>119</v>
      </c>
      <c r="B131" s="222" t="s">
        <v>34</v>
      </c>
      <c r="C131" s="220" t="s">
        <v>35</v>
      </c>
      <c r="D131" s="305">
        <f t="shared" si="6"/>
        <v>0</v>
      </c>
      <c r="E131" s="305">
        <f t="shared" si="7"/>
        <v>0</v>
      </c>
      <c r="F131" s="305">
        <v>0</v>
      </c>
      <c r="G131" s="305">
        <v>0</v>
      </c>
      <c r="H131" s="305">
        <f t="shared" si="5"/>
        <v>0</v>
      </c>
      <c r="I131" s="310">
        <v>0</v>
      </c>
      <c r="J131" s="310">
        <v>0</v>
      </c>
      <c r="K131" s="310">
        <v>0</v>
      </c>
      <c r="L131" s="310">
        <v>0</v>
      </c>
      <c r="O131" s="339"/>
    </row>
    <row r="132" spans="1:15" x14ac:dyDescent="0.2">
      <c r="A132" s="309">
        <v>120</v>
      </c>
      <c r="B132" s="222" t="s">
        <v>297</v>
      </c>
      <c r="C132" s="220" t="s">
        <v>298</v>
      </c>
      <c r="D132" s="305">
        <f t="shared" si="6"/>
        <v>11800</v>
      </c>
      <c r="E132" s="305">
        <f t="shared" si="7"/>
        <v>11800</v>
      </c>
      <c r="F132" s="305">
        <v>0</v>
      </c>
      <c r="G132" s="305">
        <v>11800</v>
      </c>
      <c r="H132" s="305">
        <f t="shared" si="5"/>
        <v>0</v>
      </c>
      <c r="I132" s="310">
        <v>0</v>
      </c>
      <c r="J132" s="310">
        <v>0</v>
      </c>
      <c r="K132" s="310">
        <v>0</v>
      </c>
      <c r="L132" s="310">
        <v>0</v>
      </c>
      <c r="O132" s="339"/>
    </row>
    <row r="133" spans="1:15" x14ac:dyDescent="0.2">
      <c r="A133" s="309">
        <v>121</v>
      </c>
      <c r="B133" s="222" t="s">
        <v>299</v>
      </c>
      <c r="C133" s="220" t="s">
        <v>300</v>
      </c>
      <c r="D133" s="305">
        <f t="shared" si="6"/>
        <v>22130</v>
      </c>
      <c r="E133" s="305">
        <f t="shared" si="7"/>
        <v>22130</v>
      </c>
      <c r="F133" s="305">
        <v>0</v>
      </c>
      <c r="G133" s="305">
        <v>22130</v>
      </c>
      <c r="H133" s="305">
        <f t="shared" si="5"/>
        <v>0</v>
      </c>
      <c r="I133" s="310">
        <v>0</v>
      </c>
      <c r="J133" s="310">
        <v>0</v>
      </c>
      <c r="K133" s="310">
        <v>0</v>
      </c>
      <c r="L133" s="310">
        <v>0</v>
      </c>
      <c r="O133" s="339"/>
    </row>
    <row r="134" spans="1:15" x14ac:dyDescent="0.2">
      <c r="A134" s="309">
        <v>122</v>
      </c>
      <c r="B134" s="219" t="s">
        <v>301</v>
      </c>
      <c r="C134" s="220" t="s">
        <v>302</v>
      </c>
      <c r="D134" s="305">
        <f t="shared" si="6"/>
        <v>0</v>
      </c>
      <c r="E134" s="305">
        <f t="shared" si="7"/>
        <v>0</v>
      </c>
      <c r="F134" s="305">
        <v>0</v>
      </c>
      <c r="G134" s="305">
        <v>0</v>
      </c>
      <c r="H134" s="305">
        <f t="shared" si="5"/>
        <v>0</v>
      </c>
      <c r="I134" s="310">
        <v>0</v>
      </c>
      <c r="J134" s="310">
        <v>0</v>
      </c>
      <c r="K134" s="310">
        <v>0</v>
      </c>
      <c r="L134" s="310">
        <v>0</v>
      </c>
      <c r="O134" s="339"/>
    </row>
    <row r="135" spans="1:15" x14ac:dyDescent="0.2">
      <c r="A135" s="309">
        <v>123</v>
      </c>
      <c r="B135" s="219" t="s">
        <v>16</v>
      </c>
      <c r="C135" s="220" t="s">
        <v>17</v>
      </c>
      <c r="D135" s="305">
        <f t="shared" si="6"/>
        <v>9962</v>
      </c>
      <c r="E135" s="305">
        <f t="shared" si="7"/>
        <v>0</v>
      </c>
      <c r="F135" s="305">
        <v>0</v>
      </c>
      <c r="G135" s="305">
        <v>0</v>
      </c>
      <c r="H135" s="305">
        <f t="shared" si="5"/>
        <v>0</v>
      </c>
      <c r="I135" s="310">
        <v>0</v>
      </c>
      <c r="J135" s="310">
        <v>0</v>
      </c>
      <c r="K135" s="310">
        <v>0</v>
      </c>
      <c r="L135" s="310">
        <v>9962</v>
      </c>
      <c r="O135" s="339"/>
    </row>
    <row r="136" spans="1:15" x14ac:dyDescent="0.2">
      <c r="A136" s="309">
        <v>124</v>
      </c>
      <c r="B136" s="219" t="s">
        <v>68</v>
      </c>
      <c r="C136" s="220" t="s">
        <v>69</v>
      </c>
      <c r="D136" s="305">
        <f t="shared" si="6"/>
        <v>0</v>
      </c>
      <c r="E136" s="305">
        <f t="shared" si="7"/>
        <v>0</v>
      </c>
      <c r="F136" s="305">
        <v>0</v>
      </c>
      <c r="G136" s="305">
        <v>0</v>
      </c>
      <c r="H136" s="305">
        <f t="shared" si="5"/>
        <v>0</v>
      </c>
      <c r="I136" s="310">
        <v>0</v>
      </c>
      <c r="J136" s="310">
        <v>0</v>
      </c>
      <c r="K136" s="310">
        <v>0</v>
      </c>
      <c r="L136" s="310">
        <v>0</v>
      </c>
      <c r="O136" s="339"/>
    </row>
    <row r="137" spans="1:15" x14ac:dyDescent="0.2">
      <c r="A137" s="309">
        <v>125</v>
      </c>
      <c r="B137" s="222" t="s">
        <v>60</v>
      </c>
      <c r="C137" s="220" t="s">
        <v>303</v>
      </c>
      <c r="D137" s="305">
        <f t="shared" si="6"/>
        <v>5800</v>
      </c>
      <c r="E137" s="305">
        <f t="shared" si="7"/>
        <v>0</v>
      </c>
      <c r="F137" s="305">
        <v>0</v>
      </c>
      <c r="G137" s="305">
        <v>0</v>
      </c>
      <c r="H137" s="305">
        <f t="shared" ref="H137:H146" si="8">I137+J137+K137</f>
        <v>5800</v>
      </c>
      <c r="I137" s="310">
        <v>2680</v>
      </c>
      <c r="J137" s="310">
        <v>0</v>
      </c>
      <c r="K137" s="310">
        <v>3120</v>
      </c>
      <c r="L137" s="310">
        <v>0</v>
      </c>
      <c r="O137" s="339"/>
    </row>
    <row r="138" spans="1:15" x14ac:dyDescent="0.2">
      <c r="A138" s="309">
        <v>126</v>
      </c>
      <c r="B138" s="224" t="s">
        <v>56</v>
      </c>
      <c r="C138" s="220" t="s">
        <v>304</v>
      </c>
      <c r="D138" s="305">
        <f t="shared" si="6"/>
        <v>36861</v>
      </c>
      <c r="E138" s="305">
        <f t="shared" si="7"/>
        <v>0</v>
      </c>
      <c r="F138" s="305">
        <v>0</v>
      </c>
      <c r="G138" s="305">
        <v>0</v>
      </c>
      <c r="H138" s="305">
        <f t="shared" si="8"/>
        <v>36861</v>
      </c>
      <c r="I138" s="310">
        <v>3472</v>
      </c>
      <c r="J138" s="310">
        <v>1122</v>
      </c>
      <c r="K138" s="310">
        <v>32267</v>
      </c>
      <c r="L138" s="310">
        <v>0</v>
      </c>
      <c r="O138" s="339"/>
    </row>
    <row r="139" spans="1:15" x14ac:dyDescent="0.2">
      <c r="A139" s="309">
        <v>127</v>
      </c>
      <c r="B139" s="219" t="s">
        <v>305</v>
      </c>
      <c r="C139" s="220" t="s">
        <v>306</v>
      </c>
      <c r="D139" s="305">
        <f t="shared" ref="D139:D146" si="9">E139+H139+L139</f>
        <v>0</v>
      </c>
      <c r="E139" s="305">
        <f t="shared" ref="E139:E146" si="10">F139+G139</f>
        <v>0</v>
      </c>
      <c r="F139" s="305">
        <v>0</v>
      </c>
      <c r="G139" s="305">
        <v>0</v>
      </c>
      <c r="H139" s="305">
        <f t="shared" si="8"/>
        <v>0</v>
      </c>
      <c r="I139" s="310">
        <v>0</v>
      </c>
      <c r="J139" s="310">
        <v>0</v>
      </c>
      <c r="K139" s="310">
        <v>0</v>
      </c>
      <c r="L139" s="310">
        <v>0</v>
      </c>
      <c r="O139" s="339"/>
    </row>
    <row r="140" spans="1:15" x14ac:dyDescent="0.2">
      <c r="A140" s="309">
        <v>128</v>
      </c>
      <c r="B140" s="222" t="s">
        <v>307</v>
      </c>
      <c r="C140" s="220" t="s">
        <v>308</v>
      </c>
      <c r="D140" s="305">
        <f t="shared" si="9"/>
        <v>0</v>
      </c>
      <c r="E140" s="305">
        <f t="shared" si="10"/>
        <v>0</v>
      </c>
      <c r="F140" s="305">
        <v>0</v>
      </c>
      <c r="G140" s="305">
        <v>0</v>
      </c>
      <c r="H140" s="305">
        <f t="shared" si="8"/>
        <v>0</v>
      </c>
      <c r="I140" s="310">
        <v>0</v>
      </c>
      <c r="J140" s="310">
        <v>0</v>
      </c>
      <c r="K140" s="310">
        <v>0</v>
      </c>
      <c r="L140" s="310">
        <v>0</v>
      </c>
      <c r="O140" s="339"/>
    </row>
    <row r="141" spans="1:15" ht="12.75" x14ac:dyDescent="0.2">
      <c r="A141" s="309">
        <v>129</v>
      </c>
      <c r="B141" s="318" t="s">
        <v>309</v>
      </c>
      <c r="C141" s="319" t="s">
        <v>310</v>
      </c>
      <c r="D141" s="305">
        <f t="shared" si="9"/>
        <v>0</v>
      </c>
      <c r="E141" s="305">
        <f t="shared" si="10"/>
        <v>0</v>
      </c>
      <c r="F141" s="305">
        <v>0</v>
      </c>
      <c r="G141" s="305">
        <v>0</v>
      </c>
      <c r="H141" s="305">
        <f t="shared" si="8"/>
        <v>0</v>
      </c>
      <c r="I141" s="310">
        <v>0</v>
      </c>
      <c r="J141" s="310">
        <v>0</v>
      </c>
      <c r="K141" s="310">
        <v>0</v>
      </c>
      <c r="L141" s="310">
        <v>0</v>
      </c>
      <c r="O141" s="339"/>
    </row>
    <row r="142" spans="1:15" ht="12.75" x14ac:dyDescent="0.2">
      <c r="A142" s="309">
        <v>130</v>
      </c>
      <c r="B142" s="320" t="s">
        <v>311</v>
      </c>
      <c r="C142" s="321" t="s">
        <v>312</v>
      </c>
      <c r="D142" s="305">
        <f t="shared" si="9"/>
        <v>0</v>
      </c>
      <c r="E142" s="305">
        <f t="shared" si="10"/>
        <v>0</v>
      </c>
      <c r="F142" s="305">
        <v>0</v>
      </c>
      <c r="G142" s="305">
        <v>0</v>
      </c>
      <c r="H142" s="305">
        <f t="shared" si="8"/>
        <v>0</v>
      </c>
      <c r="I142" s="310">
        <v>0</v>
      </c>
      <c r="J142" s="310">
        <v>0</v>
      </c>
      <c r="K142" s="310">
        <v>0</v>
      </c>
      <c r="L142" s="310">
        <v>0</v>
      </c>
      <c r="O142" s="339"/>
    </row>
    <row r="143" spans="1:15" ht="12.75" x14ac:dyDescent="0.2">
      <c r="A143" s="309">
        <v>131</v>
      </c>
      <c r="B143" s="322" t="s">
        <v>313</v>
      </c>
      <c r="C143" s="323" t="s">
        <v>314</v>
      </c>
      <c r="D143" s="305">
        <f t="shared" si="9"/>
        <v>0</v>
      </c>
      <c r="E143" s="305">
        <f t="shared" si="10"/>
        <v>0</v>
      </c>
      <c r="F143" s="305">
        <v>0</v>
      </c>
      <c r="G143" s="305">
        <v>0</v>
      </c>
      <c r="H143" s="305">
        <f t="shared" si="8"/>
        <v>0</v>
      </c>
      <c r="I143" s="310">
        <v>0</v>
      </c>
      <c r="J143" s="310">
        <v>0</v>
      </c>
      <c r="K143" s="310">
        <v>0</v>
      </c>
      <c r="L143" s="324">
        <v>0</v>
      </c>
      <c r="O143" s="339"/>
    </row>
    <row r="144" spans="1:15" ht="12.75" x14ac:dyDescent="0.2">
      <c r="A144" s="309">
        <v>132</v>
      </c>
      <c r="B144" s="325" t="s">
        <v>315</v>
      </c>
      <c r="C144" s="326" t="s">
        <v>316</v>
      </c>
      <c r="D144" s="305">
        <f t="shared" si="9"/>
        <v>0</v>
      </c>
      <c r="E144" s="305">
        <f t="shared" si="10"/>
        <v>0</v>
      </c>
      <c r="F144" s="305">
        <v>0</v>
      </c>
      <c r="G144" s="305">
        <v>0</v>
      </c>
      <c r="H144" s="305">
        <f t="shared" si="8"/>
        <v>0</v>
      </c>
      <c r="I144" s="310">
        <v>0</v>
      </c>
      <c r="J144" s="310">
        <v>0</v>
      </c>
      <c r="K144" s="310">
        <v>0</v>
      </c>
      <c r="L144" s="324">
        <v>0</v>
      </c>
      <c r="O144" s="339"/>
    </row>
    <row r="145" spans="1:15" x14ac:dyDescent="0.2">
      <c r="A145" s="309">
        <v>133</v>
      </c>
      <c r="B145" s="309" t="s">
        <v>317</v>
      </c>
      <c r="C145" s="327" t="s">
        <v>318</v>
      </c>
      <c r="D145" s="305">
        <f t="shared" si="9"/>
        <v>0</v>
      </c>
      <c r="E145" s="305">
        <f t="shared" si="10"/>
        <v>0</v>
      </c>
      <c r="F145" s="305">
        <v>0</v>
      </c>
      <c r="G145" s="305">
        <v>0</v>
      </c>
      <c r="H145" s="305">
        <f t="shared" si="8"/>
        <v>0</v>
      </c>
      <c r="I145" s="310">
        <v>0</v>
      </c>
      <c r="J145" s="310">
        <v>0</v>
      </c>
      <c r="K145" s="310">
        <v>0</v>
      </c>
      <c r="L145" s="324">
        <v>0</v>
      </c>
      <c r="O145" s="339"/>
    </row>
    <row r="146" spans="1:15" x14ac:dyDescent="0.2">
      <c r="A146" s="309">
        <v>134</v>
      </c>
      <c r="B146" s="328" t="s">
        <v>319</v>
      </c>
      <c r="C146" s="327" t="s">
        <v>320</v>
      </c>
      <c r="D146" s="305">
        <f t="shared" si="9"/>
        <v>0</v>
      </c>
      <c r="E146" s="324">
        <f t="shared" si="10"/>
        <v>0</v>
      </c>
      <c r="F146" s="324">
        <v>0</v>
      </c>
      <c r="G146" s="324">
        <v>0</v>
      </c>
      <c r="H146" s="305">
        <f t="shared" si="8"/>
        <v>0</v>
      </c>
      <c r="I146" s="324">
        <v>0</v>
      </c>
      <c r="J146" s="324">
        <v>0</v>
      </c>
      <c r="K146" s="324">
        <v>0</v>
      </c>
      <c r="L146" s="324">
        <v>0</v>
      </c>
      <c r="O146" s="339"/>
    </row>
    <row r="147" spans="1:15" x14ac:dyDescent="0.2">
      <c r="A147" s="309">
        <v>135</v>
      </c>
      <c r="B147" s="905" t="s">
        <v>728</v>
      </c>
      <c r="C147" s="906" t="s">
        <v>729</v>
      </c>
      <c r="D147" s="324">
        <v>0</v>
      </c>
      <c r="E147" s="324">
        <v>0</v>
      </c>
      <c r="F147" s="324">
        <v>0</v>
      </c>
      <c r="G147" s="324">
        <v>0</v>
      </c>
      <c r="H147" s="324">
        <v>0</v>
      </c>
      <c r="I147" s="324">
        <v>0</v>
      </c>
      <c r="J147" s="324">
        <v>0</v>
      </c>
      <c r="K147" s="324">
        <v>0</v>
      </c>
      <c r="L147" s="324">
        <v>0</v>
      </c>
      <c r="O147" s="339"/>
    </row>
  </sheetData>
  <mergeCells count="19">
    <mergeCell ref="A9:C9"/>
    <mergeCell ref="A88:A91"/>
    <mergeCell ref="B88:B91"/>
    <mergeCell ref="F4:G4"/>
    <mergeCell ref="H4:H5"/>
    <mergeCell ref="I4:I5"/>
    <mergeCell ref="J4:K4"/>
    <mergeCell ref="A7:C7"/>
    <mergeCell ref="A8:C8"/>
    <mergeCell ref="A1:L1"/>
    <mergeCell ref="A2:A5"/>
    <mergeCell ref="B2:B5"/>
    <mergeCell ref="C2:C5"/>
    <mergeCell ref="D2:L2"/>
    <mergeCell ref="D3:D5"/>
    <mergeCell ref="E3:G3"/>
    <mergeCell ref="H3:K3"/>
    <mergeCell ref="L3:L5"/>
    <mergeCell ref="E4:E5"/>
  </mergeCells>
  <pageMargins left="0.70866141732283472" right="0.70866141732283472" top="0.35433070866141736" bottom="0.15748031496062992" header="0.31496062992125984" footer="0.31496062992125984"/>
  <pageSetup paperSize="9" scale="80" fitToHeight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49"/>
  <sheetViews>
    <sheetView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G74" sqref="G74"/>
    </sheetView>
  </sheetViews>
  <sheetFormatPr defaultColWidth="10.7109375" defaultRowHeight="15" x14ac:dyDescent="0.25"/>
  <cols>
    <col min="1" max="1" width="8.28515625" style="271" customWidth="1"/>
    <col min="2" max="2" width="10.5703125" style="271" customWidth="1"/>
    <col min="3" max="3" width="64.28515625" style="238" customWidth="1"/>
    <col min="4" max="7" width="23.140625" style="238" customWidth="1"/>
    <col min="8" max="8" width="15.7109375" style="238" customWidth="1"/>
    <col min="9" max="16384" width="10.7109375" style="238"/>
  </cols>
  <sheetData>
    <row r="1" spans="1:10" ht="30" customHeight="1" x14ac:dyDescent="0.25">
      <c r="A1" s="1123" t="s">
        <v>409</v>
      </c>
      <c r="B1" s="1123"/>
      <c r="C1" s="1123"/>
      <c r="D1" s="1123"/>
      <c r="E1" s="1123"/>
      <c r="F1" s="1123"/>
      <c r="G1" s="1123"/>
      <c r="H1" s="270"/>
    </row>
    <row r="2" spans="1:10" ht="9.75" customHeight="1" x14ac:dyDescent="0.25">
      <c r="C2" s="272"/>
    </row>
    <row r="3" spans="1:10" s="273" customFormat="1" ht="25.5" customHeight="1" x14ac:dyDescent="0.2">
      <c r="A3" s="1124" t="s">
        <v>0</v>
      </c>
      <c r="B3" s="1127" t="s">
        <v>1</v>
      </c>
      <c r="C3" s="1130" t="s">
        <v>2</v>
      </c>
      <c r="D3" s="1131" t="s">
        <v>410</v>
      </c>
      <c r="E3" s="1131"/>
      <c r="F3" s="1131"/>
      <c r="G3" s="1131"/>
    </row>
    <row r="4" spans="1:10" s="273" customFormat="1" ht="18.75" customHeight="1" x14ac:dyDescent="0.2">
      <c r="A4" s="1125"/>
      <c r="B4" s="1128"/>
      <c r="C4" s="1130"/>
      <c r="D4" s="1132" t="s">
        <v>411</v>
      </c>
      <c r="E4" s="1134" t="s">
        <v>412</v>
      </c>
      <c r="F4" s="1134"/>
      <c r="G4" s="1134"/>
    </row>
    <row r="5" spans="1:10" s="273" customFormat="1" ht="48.75" customHeight="1" x14ac:dyDescent="0.2">
      <c r="A5" s="1126"/>
      <c r="B5" s="1129"/>
      <c r="C5" s="1130"/>
      <c r="D5" s="1133"/>
      <c r="E5" s="274" t="s">
        <v>413</v>
      </c>
      <c r="F5" s="274" t="s">
        <v>414</v>
      </c>
      <c r="G5" s="274" t="s">
        <v>415</v>
      </c>
    </row>
    <row r="6" spans="1:10" s="273" customFormat="1" ht="12.75" customHeight="1" x14ac:dyDescent="0.2">
      <c r="A6" s="895">
        <v>1</v>
      </c>
      <c r="B6" s="275">
        <v>2</v>
      </c>
      <c r="C6" s="896">
        <v>3</v>
      </c>
      <c r="D6" s="276">
        <v>4</v>
      </c>
      <c r="E6" s="897">
        <v>5</v>
      </c>
      <c r="F6" s="897">
        <v>6</v>
      </c>
      <c r="G6" s="897">
        <v>7</v>
      </c>
    </row>
    <row r="7" spans="1:10" s="273" customFormat="1" ht="21" customHeight="1" x14ac:dyDescent="0.2">
      <c r="A7" s="1114" t="s">
        <v>392</v>
      </c>
      <c r="B7" s="1114"/>
      <c r="C7" s="1114"/>
      <c r="D7" s="277">
        <f>SUM(D9:D141)</f>
        <v>44721</v>
      </c>
      <c r="E7" s="277">
        <f>SUM(E9:E141)</f>
        <v>6354</v>
      </c>
      <c r="F7" s="277">
        <f>SUM(F9:F141)</f>
        <v>36794</v>
      </c>
      <c r="G7" s="277">
        <f>SUM(G9:G141)</f>
        <v>1573</v>
      </c>
      <c r="I7" s="806"/>
      <c r="J7" s="806"/>
    </row>
    <row r="8" spans="1:10" s="273" customFormat="1" ht="15" customHeight="1" x14ac:dyDescent="0.2">
      <c r="A8" s="1115" t="s">
        <v>105</v>
      </c>
      <c r="B8" s="1116"/>
      <c r="C8" s="1116"/>
      <c r="D8" s="278">
        <f>E8+F8+G8</f>
        <v>0</v>
      </c>
      <c r="E8" s="278">
        <v>0</v>
      </c>
      <c r="F8" s="277">
        <v>0</v>
      </c>
      <c r="G8" s="277">
        <v>0</v>
      </c>
      <c r="I8" s="806"/>
      <c r="J8" s="806"/>
    </row>
    <row r="9" spans="1:10" x14ac:dyDescent="0.25">
      <c r="A9" s="279">
        <v>1</v>
      </c>
      <c r="B9" s="8" t="s">
        <v>109</v>
      </c>
      <c r="C9" s="9" t="s">
        <v>110</v>
      </c>
      <c r="D9" s="280">
        <f>SUM(E9:G9)</f>
        <v>6</v>
      </c>
      <c r="E9" s="280">
        <v>0</v>
      </c>
      <c r="F9" s="280">
        <v>0</v>
      </c>
      <c r="G9" s="280">
        <f>'[20]Школа сахар. диабета(Пр.20-23)'!G9+'[20]Откл.Пр.3-24-Пр.20-23'!G9</f>
        <v>6</v>
      </c>
      <c r="I9" s="806"/>
      <c r="J9" s="806"/>
    </row>
    <row r="10" spans="1:10" x14ac:dyDescent="0.25">
      <c r="A10" s="279">
        <v>2</v>
      </c>
      <c r="B10" s="10" t="s">
        <v>111</v>
      </c>
      <c r="C10" s="9" t="s">
        <v>112</v>
      </c>
      <c r="D10" s="280">
        <f t="shared" ref="D10:D73" si="0">SUM(E10:G10)</f>
        <v>620</v>
      </c>
      <c r="E10" s="280">
        <v>51</v>
      </c>
      <c r="F10" s="280">
        <v>565</v>
      </c>
      <c r="G10" s="280">
        <f>'[20]Школа сахар. диабета(Пр.20-23)'!G10+'[20]Откл.Пр.3-24-Пр.20-23'!G10</f>
        <v>4</v>
      </c>
      <c r="I10" s="806"/>
      <c r="J10" s="806"/>
    </row>
    <row r="11" spans="1:10" x14ac:dyDescent="0.25">
      <c r="A11" s="279">
        <v>3</v>
      </c>
      <c r="B11" s="281" t="s">
        <v>80</v>
      </c>
      <c r="C11" s="282" t="s">
        <v>81</v>
      </c>
      <c r="D11" s="280">
        <f t="shared" si="0"/>
        <v>1072</v>
      </c>
      <c r="E11" s="280">
        <v>139</v>
      </c>
      <c r="F11" s="280">
        <v>909</v>
      </c>
      <c r="G11" s="280">
        <f>'[20]Школа сахар. диабета(Пр.20-23)'!G11+'[20]Откл.Пр.3-24-Пр.20-23'!G11</f>
        <v>24</v>
      </c>
      <c r="I11" s="806"/>
      <c r="J11" s="806"/>
    </row>
    <row r="12" spans="1:10" x14ac:dyDescent="0.25">
      <c r="A12" s="279">
        <v>4</v>
      </c>
      <c r="B12" s="8" t="s">
        <v>113</v>
      </c>
      <c r="C12" s="9" t="s">
        <v>114</v>
      </c>
      <c r="D12" s="280">
        <f t="shared" si="0"/>
        <v>0</v>
      </c>
      <c r="E12" s="280">
        <v>0</v>
      </c>
      <c r="F12" s="280">
        <v>0</v>
      </c>
      <c r="G12" s="280">
        <f>'[20]Школа сахар. диабета(Пр.20-23)'!G12+'[20]Откл.Пр.3-24-Пр.20-23'!G12</f>
        <v>0</v>
      </c>
      <c r="I12" s="806"/>
      <c r="J12" s="806"/>
    </row>
    <row r="13" spans="1:10" x14ac:dyDescent="0.25">
      <c r="A13" s="279">
        <v>5</v>
      </c>
      <c r="B13" s="8" t="s">
        <v>115</v>
      </c>
      <c r="C13" s="9" t="s">
        <v>116</v>
      </c>
      <c r="D13" s="280">
        <f t="shared" si="0"/>
        <v>6</v>
      </c>
      <c r="E13" s="280">
        <v>0</v>
      </c>
      <c r="F13" s="280">
        <v>0</v>
      </c>
      <c r="G13" s="280">
        <f>'[20]Школа сахар. диабета(Пр.20-23)'!G13+'[20]Откл.Пр.3-24-Пр.20-23'!G13</f>
        <v>6</v>
      </c>
      <c r="I13" s="806"/>
      <c r="J13" s="806"/>
    </row>
    <row r="14" spans="1:10" x14ac:dyDescent="0.25">
      <c r="A14" s="279">
        <v>6</v>
      </c>
      <c r="B14" s="281" t="s">
        <v>117</v>
      </c>
      <c r="C14" s="282" t="s">
        <v>118</v>
      </c>
      <c r="D14" s="280">
        <f t="shared" si="0"/>
        <v>2846</v>
      </c>
      <c r="E14" s="280">
        <v>227</v>
      </c>
      <c r="F14" s="280">
        <v>2549</v>
      </c>
      <c r="G14" s="280">
        <f>'[20]Школа сахар. диабета(Пр.20-23)'!G14+'[20]Откл.Пр.3-24-Пр.20-23'!G14</f>
        <v>70</v>
      </c>
      <c r="I14" s="806"/>
      <c r="J14" s="806"/>
    </row>
    <row r="15" spans="1:10" x14ac:dyDescent="0.25">
      <c r="A15" s="279">
        <v>7</v>
      </c>
      <c r="B15" s="283" t="s">
        <v>20</v>
      </c>
      <c r="C15" s="284" t="s">
        <v>21</v>
      </c>
      <c r="D15" s="280">
        <f t="shared" si="0"/>
        <v>1012</v>
      </c>
      <c r="E15" s="280">
        <v>84</v>
      </c>
      <c r="F15" s="280">
        <v>913</v>
      </c>
      <c r="G15" s="280">
        <f>'[20]Школа сахар. диабета(Пр.20-23)'!G15+'[20]Откл.Пр.3-24-Пр.20-23'!G15</f>
        <v>15</v>
      </c>
      <c r="I15" s="806"/>
      <c r="J15" s="806"/>
    </row>
    <row r="16" spans="1:10" x14ac:dyDescent="0.25">
      <c r="A16" s="279">
        <v>8</v>
      </c>
      <c r="B16" s="281" t="s">
        <v>119</v>
      </c>
      <c r="C16" s="282" t="s">
        <v>120</v>
      </c>
      <c r="D16" s="280">
        <f t="shared" si="0"/>
        <v>4</v>
      </c>
      <c r="E16" s="280">
        <v>0</v>
      </c>
      <c r="F16" s="280">
        <v>0</v>
      </c>
      <c r="G16" s="280">
        <f>'[20]Школа сахар. диабета(Пр.20-23)'!G16+'[20]Откл.Пр.3-24-Пр.20-23'!G16</f>
        <v>4</v>
      </c>
      <c r="I16" s="806"/>
      <c r="J16" s="806"/>
    </row>
    <row r="17" spans="1:10" x14ac:dyDescent="0.25">
      <c r="A17" s="279">
        <v>9</v>
      </c>
      <c r="B17" s="281" t="s">
        <v>121</v>
      </c>
      <c r="C17" s="282" t="s">
        <v>122</v>
      </c>
      <c r="D17" s="280">
        <f t="shared" si="0"/>
        <v>9</v>
      </c>
      <c r="E17" s="280">
        <v>0</v>
      </c>
      <c r="F17" s="280">
        <v>0</v>
      </c>
      <c r="G17" s="280">
        <f>'[20]Школа сахар. диабета(Пр.20-23)'!G17+'[20]Откл.Пр.3-24-Пр.20-23'!G17</f>
        <v>9</v>
      </c>
      <c r="I17" s="806"/>
      <c r="J17" s="806"/>
    </row>
    <row r="18" spans="1:10" x14ac:dyDescent="0.25">
      <c r="A18" s="279">
        <v>10</v>
      </c>
      <c r="B18" s="281" t="s">
        <v>123</v>
      </c>
      <c r="C18" s="282" t="s">
        <v>124</v>
      </c>
      <c r="D18" s="280">
        <f t="shared" si="0"/>
        <v>10</v>
      </c>
      <c r="E18" s="280">
        <v>0</v>
      </c>
      <c r="F18" s="280">
        <v>0</v>
      </c>
      <c r="G18" s="280">
        <f>'[20]Школа сахар. диабета(Пр.20-23)'!G18+'[20]Откл.Пр.3-24-Пр.20-23'!G18</f>
        <v>10</v>
      </c>
      <c r="I18" s="806"/>
      <c r="J18" s="806"/>
    </row>
    <row r="19" spans="1:10" x14ac:dyDescent="0.25">
      <c r="A19" s="279">
        <v>11</v>
      </c>
      <c r="B19" s="281" t="s">
        <v>125</v>
      </c>
      <c r="C19" s="282" t="s">
        <v>126</v>
      </c>
      <c r="D19" s="280">
        <f t="shared" si="0"/>
        <v>4</v>
      </c>
      <c r="E19" s="280">
        <v>0</v>
      </c>
      <c r="F19" s="280">
        <v>0</v>
      </c>
      <c r="G19" s="280">
        <f>'[20]Школа сахар. диабета(Пр.20-23)'!G19+'[20]Откл.Пр.3-24-Пр.20-23'!G19</f>
        <v>4</v>
      </c>
      <c r="I19" s="806"/>
      <c r="J19" s="806"/>
    </row>
    <row r="20" spans="1:10" x14ac:dyDescent="0.25">
      <c r="A20" s="279">
        <v>12</v>
      </c>
      <c r="B20" s="281" t="s">
        <v>127</v>
      </c>
      <c r="C20" s="282" t="s">
        <v>128</v>
      </c>
      <c r="D20" s="280">
        <f t="shared" si="0"/>
        <v>1015</v>
      </c>
      <c r="E20" s="280">
        <v>248</v>
      </c>
      <c r="F20" s="280">
        <v>767</v>
      </c>
      <c r="G20" s="280">
        <f>'[20]Школа сахар. диабета(Пр.20-23)'!G20+'[20]Откл.Пр.3-24-Пр.20-23'!G20</f>
        <v>0</v>
      </c>
      <c r="I20" s="806"/>
      <c r="J20" s="806"/>
    </row>
    <row r="21" spans="1:10" x14ac:dyDescent="0.25">
      <c r="A21" s="279">
        <v>13</v>
      </c>
      <c r="B21" s="281" t="s">
        <v>129</v>
      </c>
      <c r="C21" s="9" t="s">
        <v>130</v>
      </c>
      <c r="D21" s="280">
        <f t="shared" si="0"/>
        <v>0</v>
      </c>
      <c r="E21" s="280">
        <v>0</v>
      </c>
      <c r="F21" s="280">
        <v>0</v>
      </c>
      <c r="G21" s="280">
        <f>'[20]Школа сахар. диабета(Пр.20-23)'!G21+'[20]Откл.Пр.3-24-Пр.20-23'!G21</f>
        <v>0</v>
      </c>
      <c r="I21" s="806"/>
      <c r="J21" s="806"/>
    </row>
    <row r="22" spans="1:10" x14ac:dyDescent="0.25">
      <c r="A22" s="279">
        <v>14</v>
      </c>
      <c r="B22" s="281" t="s">
        <v>131</v>
      </c>
      <c r="C22" s="282" t="s">
        <v>132</v>
      </c>
      <c r="D22" s="280">
        <f t="shared" si="0"/>
        <v>342</v>
      </c>
      <c r="E22" s="280">
        <v>56</v>
      </c>
      <c r="F22" s="280">
        <v>278</v>
      </c>
      <c r="G22" s="280">
        <f>'[20]Школа сахар. диабета(Пр.20-23)'!G22+'[20]Откл.Пр.3-24-Пр.20-23'!G22</f>
        <v>8</v>
      </c>
      <c r="I22" s="806"/>
      <c r="J22" s="806"/>
    </row>
    <row r="23" spans="1:10" x14ac:dyDescent="0.25">
      <c r="A23" s="279">
        <v>15</v>
      </c>
      <c r="B23" s="281" t="s">
        <v>133</v>
      </c>
      <c r="C23" s="282" t="s">
        <v>134</v>
      </c>
      <c r="D23" s="280">
        <f t="shared" si="0"/>
        <v>19</v>
      </c>
      <c r="E23" s="280">
        <v>0</v>
      </c>
      <c r="F23" s="280">
        <v>0</v>
      </c>
      <c r="G23" s="280">
        <f>'[20]Школа сахар. диабета(Пр.20-23)'!G23+'[20]Откл.Пр.3-24-Пр.20-23'!G23</f>
        <v>19</v>
      </c>
      <c r="I23" s="806"/>
      <c r="J23" s="806"/>
    </row>
    <row r="24" spans="1:10" x14ac:dyDescent="0.25">
      <c r="A24" s="279">
        <v>16</v>
      </c>
      <c r="B24" s="281" t="s">
        <v>135</v>
      </c>
      <c r="C24" s="282" t="s">
        <v>136</v>
      </c>
      <c r="D24" s="280">
        <f t="shared" si="0"/>
        <v>21</v>
      </c>
      <c r="E24" s="280">
        <v>0</v>
      </c>
      <c r="F24" s="280">
        <v>0</v>
      </c>
      <c r="G24" s="280">
        <f>'[20]Школа сахар. диабета(Пр.20-23)'!G24+'[20]Откл.Пр.3-24-Пр.20-23'!G24</f>
        <v>21</v>
      </c>
      <c r="I24" s="806"/>
      <c r="J24" s="806"/>
    </row>
    <row r="25" spans="1:10" x14ac:dyDescent="0.25">
      <c r="A25" s="279">
        <v>17</v>
      </c>
      <c r="B25" s="281" t="s">
        <v>30</v>
      </c>
      <c r="C25" s="282" t="s">
        <v>31</v>
      </c>
      <c r="D25" s="280">
        <f t="shared" si="0"/>
        <v>969</v>
      </c>
      <c r="E25" s="280">
        <v>177</v>
      </c>
      <c r="F25" s="280">
        <v>754</v>
      </c>
      <c r="G25" s="280">
        <f>'[20]Школа сахар. диабета(Пр.20-23)'!G25+'[20]Откл.Пр.3-24-Пр.20-23'!G25</f>
        <v>38</v>
      </c>
      <c r="I25" s="806"/>
      <c r="J25" s="806"/>
    </row>
    <row r="26" spans="1:10" x14ac:dyDescent="0.25">
      <c r="A26" s="279">
        <v>18</v>
      </c>
      <c r="B26" s="8" t="s">
        <v>137</v>
      </c>
      <c r="C26" s="9" t="s">
        <v>138</v>
      </c>
      <c r="D26" s="280">
        <f t="shared" si="0"/>
        <v>0</v>
      </c>
      <c r="E26" s="280">
        <v>0</v>
      </c>
      <c r="F26" s="280">
        <v>0</v>
      </c>
      <c r="G26" s="280">
        <f>'[20]Школа сахар. диабета(Пр.20-23)'!G26+'[20]Откл.Пр.3-24-Пр.20-23'!G26</f>
        <v>0</v>
      </c>
      <c r="I26" s="806"/>
      <c r="J26" s="806"/>
    </row>
    <row r="27" spans="1:10" x14ac:dyDescent="0.25">
      <c r="A27" s="279">
        <v>19</v>
      </c>
      <c r="B27" s="8" t="s">
        <v>139</v>
      </c>
      <c r="C27" s="9" t="s">
        <v>140</v>
      </c>
      <c r="D27" s="280">
        <f t="shared" si="0"/>
        <v>3</v>
      </c>
      <c r="E27" s="280">
        <v>0</v>
      </c>
      <c r="F27" s="280">
        <v>0</v>
      </c>
      <c r="G27" s="280">
        <f>'[20]Школа сахар. диабета(Пр.20-23)'!G27+'[20]Откл.Пр.3-24-Пр.20-23'!G27</f>
        <v>3</v>
      </c>
      <c r="I27" s="806"/>
      <c r="J27" s="806"/>
    </row>
    <row r="28" spans="1:10" x14ac:dyDescent="0.25">
      <c r="A28" s="279">
        <v>20</v>
      </c>
      <c r="B28" s="8" t="s">
        <v>84</v>
      </c>
      <c r="C28" s="9" t="s">
        <v>85</v>
      </c>
      <c r="D28" s="280">
        <f t="shared" si="0"/>
        <v>929</v>
      </c>
      <c r="E28" s="280">
        <v>90</v>
      </c>
      <c r="F28" s="280">
        <v>811</v>
      </c>
      <c r="G28" s="280">
        <f>'[20]Школа сахар. диабета(Пр.20-23)'!G28+'[20]Откл.Пр.3-24-Пр.20-23'!G28</f>
        <v>28</v>
      </c>
      <c r="I28" s="806"/>
      <c r="J28" s="806"/>
    </row>
    <row r="29" spans="1:10" x14ac:dyDescent="0.25">
      <c r="A29" s="279">
        <v>21</v>
      </c>
      <c r="B29" s="8" t="s">
        <v>141</v>
      </c>
      <c r="C29" s="9" t="s">
        <v>142</v>
      </c>
      <c r="D29" s="280">
        <f t="shared" si="0"/>
        <v>1043</v>
      </c>
      <c r="E29" s="280">
        <v>170</v>
      </c>
      <c r="F29" s="280">
        <v>842</v>
      </c>
      <c r="G29" s="280">
        <f>'[20]Школа сахар. диабета(Пр.20-23)'!G29+'[20]Откл.Пр.3-24-Пр.20-23'!G29</f>
        <v>31</v>
      </c>
      <c r="I29" s="806"/>
      <c r="J29" s="806"/>
    </row>
    <row r="30" spans="1:10" x14ac:dyDescent="0.25">
      <c r="A30" s="279">
        <v>22</v>
      </c>
      <c r="B30" s="281" t="s">
        <v>143</v>
      </c>
      <c r="C30" s="282" t="s">
        <v>144</v>
      </c>
      <c r="D30" s="280">
        <f t="shared" si="0"/>
        <v>6</v>
      </c>
      <c r="E30" s="280">
        <v>0</v>
      </c>
      <c r="F30" s="280">
        <v>0</v>
      </c>
      <c r="G30" s="280">
        <f>'[20]Школа сахар. диабета(Пр.20-23)'!G30+'[20]Откл.Пр.3-24-Пр.20-23'!G30</f>
        <v>6</v>
      </c>
      <c r="I30" s="806"/>
      <c r="J30" s="806"/>
    </row>
    <row r="31" spans="1:10" x14ac:dyDescent="0.25">
      <c r="A31" s="279">
        <v>23</v>
      </c>
      <c r="B31" s="281" t="s">
        <v>145</v>
      </c>
      <c r="C31" s="282" t="s">
        <v>146</v>
      </c>
      <c r="D31" s="280">
        <f t="shared" si="0"/>
        <v>0</v>
      </c>
      <c r="E31" s="280">
        <v>0</v>
      </c>
      <c r="F31" s="280">
        <v>0</v>
      </c>
      <c r="G31" s="280">
        <f>'[20]Школа сахар. диабета(Пр.20-23)'!G31+'[20]Откл.Пр.3-24-Пр.20-23'!G31</f>
        <v>0</v>
      </c>
      <c r="I31" s="806"/>
      <c r="J31" s="806"/>
    </row>
    <row r="32" spans="1:10" x14ac:dyDescent="0.25">
      <c r="A32" s="279">
        <v>24</v>
      </c>
      <c r="B32" s="281" t="s">
        <v>147</v>
      </c>
      <c r="C32" s="282" t="s">
        <v>148</v>
      </c>
      <c r="D32" s="280">
        <f t="shared" si="0"/>
        <v>0</v>
      </c>
      <c r="E32" s="280">
        <v>0</v>
      </c>
      <c r="F32" s="280">
        <v>0</v>
      </c>
      <c r="G32" s="280">
        <f>'[20]Школа сахар. диабета(Пр.20-23)'!G32+'[20]Откл.Пр.3-24-Пр.20-23'!G32</f>
        <v>0</v>
      </c>
      <c r="I32" s="806"/>
      <c r="J32" s="806"/>
    </row>
    <row r="33" spans="1:10" x14ac:dyDescent="0.25">
      <c r="A33" s="279">
        <v>25</v>
      </c>
      <c r="B33" s="8" t="s">
        <v>149</v>
      </c>
      <c r="C33" s="284" t="s">
        <v>150</v>
      </c>
      <c r="D33" s="280">
        <f t="shared" si="0"/>
        <v>3597</v>
      </c>
      <c r="E33" s="280">
        <v>492</v>
      </c>
      <c r="F33" s="280">
        <v>3058</v>
      </c>
      <c r="G33" s="280">
        <f>'[20]Школа сахар. диабета(Пр.20-23)'!G33+'[20]Откл.Пр.3-24-Пр.20-23'!G33</f>
        <v>47</v>
      </c>
      <c r="I33" s="806"/>
      <c r="J33" s="806"/>
    </row>
    <row r="34" spans="1:10" x14ac:dyDescent="0.25">
      <c r="A34" s="279">
        <v>26</v>
      </c>
      <c r="B34" s="281" t="s">
        <v>151</v>
      </c>
      <c r="C34" s="282" t="s">
        <v>152</v>
      </c>
      <c r="D34" s="280">
        <f t="shared" si="0"/>
        <v>84</v>
      </c>
      <c r="E34" s="280">
        <v>0</v>
      </c>
      <c r="F34" s="280">
        <v>0</v>
      </c>
      <c r="G34" s="280">
        <f>'[20]Школа сахар. диабета(Пр.20-23)'!G34+'[20]Откл.Пр.3-24-Пр.20-23'!G34</f>
        <v>84</v>
      </c>
      <c r="I34" s="806"/>
      <c r="J34" s="806"/>
    </row>
    <row r="35" spans="1:10" x14ac:dyDescent="0.25">
      <c r="A35" s="279">
        <v>27</v>
      </c>
      <c r="B35" s="10" t="s">
        <v>153</v>
      </c>
      <c r="C35" s="284" t="s">
        <v>154</v>
      </c>
      <c r="D35" s="280">
        <f t="shared" si="0"/>
        <v>0</v>
      </c>
      <c r="E35" s="280">
        <v>0</v>
      </c>
      <c r="F35" s="280">
        <v>0</v>
      </c>
      <c r="G35" s="280">
        <f>'[20]Школа сахар. диабета(Пр.20-23)'!G35+'[20]Откл.Пр.3-24-Пр.20-23'!G35</f>
        <v>0</v>
      </c>
      <c r="I35" s="806"/>
      <c r="J35" s="806"/>
    </row>
    <row r="36" spans="1:10" x14ac:dyDescent="0.25">
      <c r="A36" s="279">
        <v>28</v>
      </c>
      <c r="B36" s="8" t="s">
        <v>155</v>
      </c>
      <c r="C36" s="9" t="s">
        <v>416</v>
      </c>
      <c r="D36" s="280">
        <f t="shared" si="0"/>
        <v>0</v>
      </c>
      <c r="E36" s="280">
        <v>0</v>
      </c>
      <c r="F36" s="280">
        <v>0</v>
      </c>
      <c r="G36" s="280">
        <f>'[20]Школа сахар. диабета(Пр.20-23)'!G36+'[20]Откл.Пр.3-24-Пр.20-23'!G36</f>
        <v>0</v>
      </c>
      <c r="I36" s="806"/>
      <c r="J36" s="806"/>
    </row>
    <row r="37" spans="1:10" x14ac:dyDescent="0.25">
      <c r="A37" s="279">
        <v>29</v>
      </c>
      <c r="B37" s="10" t="s">
        <v>157</v>
      </c>
      <c r="C37" s="9" t="s">
        <v>158</v>
      </c>
      <c r="D37" s="280">
        <f t="shared" si="0"/>
        <v>748</v>
      </c>
      <c r="E37" s="280">
        <v>125</v>
      </c>
      <c r="F37" s="280">
        <v>605</v>
      </c>
      <c r="G37" s="280">
        <f>'[20]Школа сахар. диабета(Пр.20-23)'!G37+'[20]Откл.Пр.3-24-Пр.20-23'!G37</f>
        <v>18</v>
      </c>
      <c r="I37" s="806"/>
      <c r="J37" s="806"/>
    </row>
    <row r="38" spans="1:10" x14ac:dyDescent="0.25">
      <c r="A38" s="279">
        <v>30</v>
      </c>
      <c r="B38" s="283" t="s">
        <v>46</v>
      </c>
      <c r="C38" s="284" t="s">
        <v>47</v>
      </c>
      <c r="D38" s="280">
        <f t="shared" si="0"/>
        <v>1577</v>
      </c>
      <c r="E38" s="280">
        <v>160</v>
      </c>
      <c r="F38" s="280">
        <v>1373</v>
      </c>
      <c r="G38" s="280">
        <f>'[20]Школа сахар. диабета(Пр.20-23)'!G38+'[20]Откл.Пр.3-24-Пр.20-23'!G38</f>
        <v>44</v>
      </c>
      <c r="I38" s="806"/>
      <c r="J38" s="806"/>
    </row>
    <row r="39" spans="1:10" x14ac:dyDescent="0.25">
      <c r="A39" s="279">
        <v>31</v>
      </c>
      <c r="B39" s="10" t="s">
        <v>159</v>
      </c>
      <c r="C39" s="9" t="s">
        <v>160</v>
      </c>
      <c r="D39" s="280">
        <f t="shared" si="0"/>
        <v>6</v>
      </c>
      <c r="E39" s="280">
        <v>0</v>
      </c>
      <c r="F39" s="280">
        <v>0</v>
      </c>
      <c r="G39" s="280">
        <f>'[20]Школа сахар. диабета(Пр.20-23)'!G39+'[20]Откл.Пр.3-24-Пр.20-23'!G39</f>
        <v>6</v>
      </c>
      <c r="I39" s="806"/>
      <c r="J39" s="806"/>
    </row>
    <row r="40" spans="1:10" x14ac:dyDescent="0.25">
      <c r="A40" s="279">
        <v>32</v>
      </c>
      <c r="B40" s="281" t="s">
        <v>58</v>
      </c>
      <c r="C40" s="282" t="s">
        <v>59</v>
      </c>
      <c r="D40" s="280">
        <f t="shared" si="0"/>
        <v>966</v>
      </c>
      <c r="E40" s="280">
        <v>115</v>
      </c>
      <c r="F40" s="280">
        <v>821</v>
      </c>
      <c r="G40" s="280">
        <f>'[20]Школа сахар. диабета(Пр.20-23)'!G40+'[20]Откл.Пр.3-24-Пр.20-23'!G40</f>
        <v>30</v>
      </c>
      <c r="I40" s="806"/>
      <c r="J40" s="806"/>
    </row>
    <row r="41" spans="1:10" x14ac:dyDescent="0.25">
      <c r="A41" s="279">
        <v>33</v>
      </c>
      <c r="B41" s="10" t="s">
        <v>161</v>
      </c>
      <c r="C41" s="9" t="s">
        <v>162</v>
      </c>
      <c r="D41" s="280">
        <f t="shared" si="0"/>
        <v>451</v>
      </c>
      <c r="E41" s="280">
        <v>115</v>
      </c>
      <c r="F41" s="280">
        <v>321</v>
      </c>
      <c r="G41" s="280">
        <f>'[20]Школа сахар. диабета(Пр.20-23)'!G41+'[20]Откл.Пр.3-24-Пр.20-23'!G41</f>
        <v>15</v>
      </c>
      <c r="I41" s="806"/>
      <c r="J41" s="806"/>
    </row>
    <row r="42" spans="1:10" x14ac:dyDescent="0.25">
      <c r="A42" s="279">
        <v>34</v>
      </c>
      <c r="B42" s="8" t="s">
        <v>82</v>
      </c>
      <c r="C42" s="9" t="s">
        <v>83</v>
      </c>
      <c r="D42" s="280">
        <f t="shared" si="0"/>
        <v>1235</v>
      </c>
      <c r="E42" s="280">
        <v>84</v>
      </c>
      <c r="F42" s="280">
        <v>1116</v>
      </c>
      <c r="G42" s="280">
        <f>'[20]Школа сахар. диабета(Пр.20-23)'!G42+'[20]Откл.Пр.3-24-Пр.20-23'!G42</f>
        <v>35</v>
      </c>
      <c r="I42" s="806"/>
      <c r="J42" s="806"/>
    </row>
    <row r="43" spans="1:10" x14ac:dyDescent="0.25">
      <c r="A43" s="279">
        <v>35</v>
      </c>
      <c r="B43" s="285" t="s">
        <v>163</v>
      </c>
      <c r="C43" s="286" t="s">
        <v>164</v>
      </c>
      <c r="D43" s="280">
        <f t="shared" si="0"/>
        <v>265</v>
      </c>
      <c r="E43" s="280">
        <v>32</v>
      </c>
      <c r="F43" s="280">
        <v>227</v>
      </c>
      <c r="G43" s="280">
        <f>'[20]Школа сахар. диабета(Пр.20-23)'!G43+'[20]Откл.Пр.3-24-Пр.20-23'!G43</f>
        <v>6</v>
      </c>
      <c r="I43" s="806"/>
      <c r="J43" s="806"/>
    </row>
    <row r="44" spans="1:10" x14ac:dyDescent="0.25">
      <c r="A44" s="279">
        <v>36</v>
      </c>
      <c r="B44" s="8" t="s">
        <v>165</v>
      </c>
      <c r="C44" s="9" t="s">
        <v>166</v>
      </c>
      <c r="D44" s="280">
        <f t="shared" si="0"/>
        <v>1</v>
      </c>
      <c r="E44" s="280">
        <v>0</v>
      </c>
      <c r="F44" s="280">
        <v>0</v>
      </c>
      <c r="G44" s="280">
        <f>'[20]Школа сахар. диабета(Пр.20-23)'!G44+'[20]Откл.Пр.3-24-Пр.20-23'!G44</f>
        <v>1</v>
      </c>
      <c r="I44" s="806"/>
      <c r="J44" s="806"/>
    </row>
    <row r="45" spans="1:10" x14ac:dyDescent="0.25">
      <c r="A45" s="279">
        <v>37</v>
      </c>
      <c r="B45" s="283" t="s">
        <v>86</v>
      </c>
      <c r="C45" s="284" t="s">
        <v>87</v>
      </c>
      <c r="D45" s="280">
        <f t="shared" si="0"/>
        <v>8</v>
      </c>
      <c r="E45" s="280">
        <v>0</v>
      </c>
      <c r="F45" s="280">
        <v>0</v>
      </c>
      <c r="G45" s="280">
        <f>'[20]Школа сахар. диабета(Пр.20-23)'!G45+'[20]Откл.Пр.3-24-Пр.20-23'!G45</f>
        <v>8</v>
      </c>
      <c r="I45" s="806"/>
      <c r="J45" s="806"/>
    </row>
    <row r="46" spans="1:10" x14ac:dyDescent="0.25">
      <c r="A46" s="279">
        <v>38</v>
      </c>
      <c r="B46" s="281" t="s">
        <v>167</v>
      </c>
      <c r="C46" s="282" t="s">
        <v>168</v>
      </c>
      <c r="D46" s="280">
        <f t="shared" si="0"/>
        <v>2</v>
      </c>
      <c r="E46" s="280">
        <v>0</v>
      </c>
      <c r="F46" s="280">
        <v>0</v>
      </c>
      <c r="G46" s="280">
        <f>'[20]Школа сахар. диабета(Пр.20-23)'!G46+'[20]Откл.Пр.3-24-Пр.20-23'!G46</f>
        <v>2</v>
      </c>
      <c r="I46" s="806"/>
      <c r="J46" s="806"/>
    </row>
    <row r="47" spans="1:10" x14ac:dyDescent="0.25">
      <c r="A47" s="279">
        <v>39</v>
      </c>
      <c r="B47" s="10" t="s">
        <v>169</v>
      </c>
      <c r="C47" s="9" t="s">
        <v>170</v>
      </c>
      <c r="D47" s="280">
        <f t="shared" si="0"/>
        <v>0</v>
      </c>
      <c r="E47" s="280">
        <v>0</v>
      </c>
      <c r="F47" s="280">
        <v>0</v>
      </c>
      <c r="G47" s="280">
        <f>'[20]Школа сахар. диабета(Пр.20-23)'!G47+'[20]Откл.Пр.3-24-Пр.20-23'!G47</f>
        <v>0</v>
      </c>
      <c r="I47" s="806"/>
      <c r="J47" s="806"/>
    </row>
    <row r="48" spans="1:10" x14ac:dyDescent="0.25">
      <c r="A48" s="279">
        <v>40</v>
      </c>
      <c r="B48" s="281" t="s">
        <v>171</v>
      </c>
      <c r="C48" s="282" t="s">
        <v>172</v>
      </c>
      <c r="D48" s="280">
        <f t="shared" si="0"/>
        <v>1277</v>
      </c>
      <c r="E48" s="280">
        <v>254</v>
      </c>
      <c r="F48" s="280">
        <v>983</v>
      </c>
      <c r="G48" s="280">
        <f>'[20]Школа сахар. диабета(Пр.20-23)'!G48+'[20]Откл.Пр.3-24-Пр.20-23'!G48</f>
        <v>40</v>
      </c>
      <c r="I48" s="806"/>
      <c r="J48" s="806"/>
    </row>
    <row r="49" spans="1:10" x14ac:dyDescent="0.25">
      <c r="A49" s="279">
        <v>41</v>
      </c>
      <c r="B49" s="8" t="s">
        <v>78</v>
      </c>
      <c r="C49" s="9" t="s">
        <v>79</v>
      </c>
      <c r="D49" s="280">
        <f t="shared" si="0"/>
        <v>9</v>
      </c>
      <c r="E49" s="280">
        <v>0</v>
      </c>
      <c r="F49" s="280">
        <v>0</v>
      </c>
      <c r="G49" s="280">
        <f>'[20]Школа сахар. диабета(Пр.20-23)'!G49+'[20]Откл.Пр.3-24-Пр.20-23'!G49</f>
        <v>9</v>
      </c>
      <c r="I49" s="806"/>
      <c r="J49" s="806"/>
    </row>
    <row r="50" spans="1:10" x14ac:dyDescent="0.25">
      <c r="A50" s="279">
        <v>42</v>
      </c>
      <c r="B50" s="8" t="s">
        <v>173</v>
      </c>
      <c r="C50" s="9" t="s">
        <v>174</v>
      </c>
      <c r="D50" s="280">
        <f t="shared" si="0"/>
        <v>976</v>
      </c>
      <c r="E50" s="280">
        <v>346</v>
      </c>
      <c r="F50" s="280">
        <v>601</v>
      </c>
      <c r="G50" s="280">
        <f>'[20]Школа сахар. диабета(Пр.20-23)'!G50+'[20]Откл.Пр.3-24-Пр.20-23'!G50</f>
        <v>29</v>
      </c>
      <c r="I50" s="806"/>
      <c r="J50" s="806"/>
    </row>
    <row r="51" spans="1:10" x14ac:dyDescent="0.25">
      <c r="A51" s="279">
        <v>43</v>
      </c>
      <c r="B51" s="281" t="s">
        <v>175</v>
      </c>
      <c r="C51" s="282" t="s">
        <v>176</v>
      </c>
      <c r="D51" s="280">
        <f t="shared" si="0"/>
        <v>5</v>
      </c>
      <c r="E51" s="280">
        <v>0</v>
      </c>
      <c r="F51" s="280">
        <v>0</v>
      </c>
      <c r="G51" s="280">
        <f>'[20]Школа сахар. диабета(Пр.20-23)'!G51+'[20]Откл.Пр.3-24-Пр.20-23'!G51</f>
        <v>5</v>
      </c>
      <c r="I51" s="806"/>
      <c r="J51" s="806"/>
    </row>
    <row r="52" spans="1:10" x14ac:dyDescent="0.25">
      <c r="A52" s="279">
        <v>44</v>
      </c>
      <c r="B52" s="281" t="s">
        <v>42</v>
      </c>
      <c r="C52" s="282" t="s">
        <v>43</v>
      </c>
      <c r="D52" s="280">
        <f t="shared" si="0"/>
        <v>11</v>
      </c>
      <c r="E52" s="280">
        <v>0</v>
      </c>
      <c r="F52" s="280">
        <v>0</v>
      </c>
      <c r="G52" s="280">
        <f>'[20]Школа сахар. диабета(Пр.20-23)'!G52+'[20]Откл.Пр.3-24-Пр.20-23'!G52</f>
        <v>11</v>
      </c>
      <c r="I52" s="806"/>
      <c r="J52" s="806"/>
    </row>
    <row r="53" spans="1:10" x14ac:dyDescent="0.25">
      <c r="A53" s="279">
        <v>45</v>
      </c>
      <c r="B53" s="10" t="s">
        <v>177</v>
      </c>
      <c r="C53" s="9" t="s">
        <v>178</v>
      </c>
      <c r="D53" s="280">
        <f t="shared" si="0"/>
        <v>18</v>
      </c>
      <c r="E53" s="280">
        <v>0</v>
      </c>
      <c r="F53" s="280">
        <v>0</v>
      </c>
      <c r="G53" s="280">
        <f>'[20]Школа сахар. диабета(Пр.20-23)'!G53+'[20]Откл.Пр.3-24-Пр.20-23'!G53</f>
        <v>18</v>
      </c>
      <c r="I53" s="806"/>
      <c r="J53" s="806"/>
    </row>
    <row r="54" spans="1:10" x14ac:dyDescent="0.25">
      <c r="A54" s="279">
        <v>46</v>
      </c>
      <c r="B54" s="281" t="s">
        <v>179</v>
      </c>
      <c r="C54" s="282" t="s">
        <v>180</v>
      </c>
      <c r="D54" s="280">
        <f t="shared" si="0"/>
        <v>3</v>
      </c>
      <c r="E54" s="280">
        <v>0</v>
      </c>
      <c r="F54" s="280">
        <v>0</v>
      </c>
      <c r="G54" s="280">
        <f>'[20]Школа сахар. диабета(Пр.20-23)'!G54+'[20]Откл.Пр.3-24-Пр.20-23'!G54</f>
        <v>3</v>
      </c>
      <c r="I54" s="806"/>
      <c r="J54" s="806"/>
    </row>
    <row r="55" spans="1:10" x14ac:dyDescent="0.25">
      <c r="A55" s="279">
        <v>47</v>
      </c>
      <c r="B55" s="10" t="s">
        <v>181</v>
      </c>
      <c r="C55" s="9" t="s">
        <v>182</v>
      </c>
      <c r="D55" s="280">
        <f t="shared" si="0"/>
        <v>999</v>
      </c>
      <c r="E55" s="280">
        <v>143</v>
      </c>
      <c r="F55" s="280">
        <v>845</v>
      </c>
      <c r="G55" s="280">
        <f>'[20]Школа сахар. диабета(Пр.20-23)'!G55+'[20]Откл.Пр.3-24-Пр.20-23'!G55</f>
        <v>11</v>
      </c>
      <c r="I55" s="806"/>
      <c r="J55" s="806"/>
    </row>
    <row r="56" spans="1:10" x14ac:dyDescent="0.25">
      <c r="A56" s="279">
        <v>48</v>
      </c>
      <c r="B56" s="281" t="s">
        <v>183</v>
      </c>
      <c r="C56" s="282" t="s">
        <v>184</v>
      </c>
      <c r="D56" s="280">
        <f t="shared" si="0"/>
        <v>9</v>
      </c>
      <c r="E56" s="280">
        <v>0</v>
      </c>
      <c r="F56" s="280">
        <v>0</v>
      </c>
      <c r="G56" s="280">
        <f>'[20]Школа сахар. диабета(Пр.20-23)'!G56+'[20]Откл.Пр.3-24-Пр.20-23'!G56</f>
        <v>9</v>
      </c>
      <c r="I56" s="806"/>
      <c r="J56" s="806"/>
    </row>
    <row r="57" spans="1:10" x14ac:dyDescent="0.25">
      <c r="A57" s="279">
        <v>49</v>
      </c>
      <c r="B57" s="281" t="s">
        <v>185</v>
      </c>
      <c r="C57" s="282" t="s">
        <v>186</v>
      </c>
      <c r="D57" s="280">
        <f t="shared" si="0"/>
        <v>1596</v>
      </c>
      <c r="E57" s="280">
        <v>263</v>
      </c>
      <c r="F57" s="280">
        <v>1278</v>
      </c>
      <c r="G57" s="280">
        <f>'[20]Школа сахар. диабета(Пр.20-23)'!G57+'[20]Откл.Пр.3-24-Пр.20-23'!G57</f>
        <v>55</v>
      </c>
      <c r="I57" s="806"/>
      <c r="J57" s="806"/>
    </row>
    <row r="58" spans="1:10" x14ac:dyDescent="0.25">
      <c r="A58" s="279">
        <v>50</v>
      </c>
      <c r="B58" s="281" t="s">
        <v>187</v>
      </c>
      <c r="C58" s="282" t="s">
        <v>188</v>
      </c>
      <c r="D58" s="280">
        <f t="shared" si="0"/>
        <v>6</v>
      </c>
      <c r="E58" s="280">
        <v>0</v>
      </c>
      <c r="F58" s="280">
        <v>0</v>
      </c>
      <c r="G58" s="280">
        <f>'[20]Школа сахар. диабета(Пр.20-23)'!G58+'[20]Откл.Пр.3-24-Пр.20-23'!G58</f>
        <v>6</v>
      </c>
      <c r="I58" s="806"/>
      <c r="J58" s="806"/>
    </row>
    <row r="59" spans="1:10" x14ac:dyDescent="0.25">
      <c r="A59" s="279">
        <v>51</v>
      </c>
      <c r="B59" s="281" t="s">
        <v>189</v>
      </c>
      <c r="C59" s="282" t="s">
        <v>190</v>
      </c>
      <c r="D59" s="280">
        <f t="shared" si="0"/>
        <v>0</v>
      </c>
      <c r="E59" s="280">
        <v>0</v>
      </c>
      <c r="F59" s="280">
        <v>0</v>
      </c>
      <c r="G59" s="280">
        <f>'[20]Школа сахар. диабета(Пр.20-23)'!G59+'[20]Откл.Пр.3-24-Пр.20-23'!G59</f>
        <v>0</v>
      </c>
      <c r="I59" s="806"/>
      <c r="J59" s="806"/>
    </row>
    <row r="60" spans="1:10" x14ac:dyDescent="0.25">
      <c r="A60" s="279">
        <v>52</v>
      </c>
      <c r="B60" s="287" t="s">
        <v>191</v>
      </c>
      <c r="C60" s="284" t="s">
        <v>192</v>
      </c>
      <c r="D60" s="280">
        <f t="shared" si="0"/>
        <v>0</v>
      </c>
      <c r="E60" s="280">
        <v>0</v>
      </c>
      <c r="F60" s="280">
        <v>0</v>
      </c>
      <c r="G60" s="280">
        <f>'[20]Школа сахар. диабета(Пр.20-23)'!G60+'[20]Откл.Пр.3-24-Пр.20-23'!G60</f>
        <v>0</v>
      </c>
      <c r="I60" s="806"/>
      <c r="J60" s="806"/>
    </row>
    <row r="61" spans="1:10" x14ac:dyDescent="0.25">
      <c r="A61" s="279">
        <v>53</v>
      </c>
      <c r="B61" s="281" t="s">
        <v>22</v>
      </c>
      <c r="C61" s="282" t="s">
        <v>23</v>
      </c>
      <c r="D61" s="280">
        <f t="shared" si="0"/>
        <v>91</v>
      </c>
      <c r="E61" s="280">
        <v>0</v>
      </c>
      <c r="F61" s="280">
        <v>0</v>
      </c>
      <c r="G61" s="280">
        <f>'[20]Школа сахар. диабета(Пр.20-23)'!G61+'[20]Откл.Пр.3-24-Пр.20-23'!G61</f>
        <v>91</v>
      </c>
      <c r="I61" s="806"/>
      <c r="J61" s="806"/>
    </row>
    <row r="62" spans="1:10" x14ac:dyDescent="0.25">
      <c r="A62" s="279">
        <v>54</v>
      </c>
      <c r="B62" s="10" t="s">
        <v>24</v>
      </c>
      <c r="C62" s="282" t="s">
        <v>417</v>
      </c>
      <c r="D62" s="280">
        <f t="shared" si="0"/>
        <v>93</v>
      </c>
      <c r="E62" s="280">
        <v>0</v>
      </c>
      <c r="F62" s="280">
        <v>0</v>
      </c>
      <c r="G62" s="280">
        <f>'[20]Школа сахар. диабета(Пр.20-23)'!G62+'[20]Откл.Пр.3-24-Пр.20-23'!G62</f>
        <v>93</v>
      </c>
      <c r="I62" s="806"/>
      <c r="J62" s="806"/>
    </row>
    <row r="63" spans="1:10" x14ac:dyDescent="0.25">
      <c r="A63" s="279">
        <v>55</v>
      </c>
      <c r="B63" s="283" t="s">
        <v>193</v>
      </c>
      <c r="C63" s="284" t="s">
        <v>194</v>
      </c>
      <c r="D63" s="280">
        <f t="shared" si="0"/>
        <v>91</v>
      </c>
      <c r="E63" s="280">
        <v>0</v>
      </c>
      <c r="F63" s="280">
        <v>0</v>
      </c>
      <c r="G63" s="280">
        <f>'[20]Школа сахар. диабета(Пр.20-23)'!G63+'[20]Откл.Пр.3-24-Пр.20-23'!G63</f>
        <v>91</v>
      </c>
      <c r="I63" s="806"/>
      <c r="J63" s="806"/>
    </row>
    <row r="64" spans="1:10" x14ac:dyDescent="0.25">
      <c r="A64" s="279">
        <v>56</v>
      </c>
      <c r="B64" s="10" t="s">
        <v>26</v>
      </c>
      <c r="C64" s="282" t="s">
        <v>418</v>
      </c>
      <c r="D64" s="280">
        <f t="shared" si="0"/>
        <v>147</v>
      </c>
      <c r="E64" s="280">
        <v>0</v>
      </c>
      <c r="F64" s="280">
        <v>0</v>
      </c>
      <c r="G64" s="280">
        <f>'[20]Школа сахар. диабета(Пр.20-23)'!G64+'[20]Откл.Пр.3-24-Пр.20-23'!G64</f>
        <v>147</v>
      </c>
      <c r="I64" s="806"/>
      <c r="J64" s="806"/>
    </row>
    <row r="65" spans="1:10" x14ac:dyDescent="0.25">
      <c r="A65" s="279">
        <v>57</v>
      </c>
      <c r="B65" s="281" t="s">
        <v>28</v>
      </c>
      <c r="C65" s="282" t="s">
        <v>785</v>
      </c>
      <c r="D65" s="280">
        <f t="shared" si="0"/>
        <v>40</v>
      </c>
      <c r="E65" s="280">
        <v>0</v>
      </c>
      <c r="F65" s="280">
        <v>0</v>
      </c>
      <c r="G65" s="280">
        <f>'[20]Школа сахар. диабета(Пр.20-23)'!G65+'[20]Откл.Пр.3-24-Пр.20-23'!G65</f>
        <v>40</v>
      </c>
      <c r="I65" s="806"/>
      <c r="J65" s="806"/>
    </row>
    <row r="66" spans="1:10" x14ac:dyDescent="0.25">
      <c r="A66" s="279">
        <v>58</v>
      </c>
      <c r="B66" s="8" t="s">
        <v>196</v>
      </c>
      <c r="C66" s="282" t="s">
        <v>419</v>
      </c>
      <c r="D66" s="280">
        <f t="shared" si="0"/>
        <v>0</v>
      </c>
      <c r="E66" s="280">
        <v>0</v>
      </c>
      <c r="F66" s="280">
        <v>0</v>
      </c>
      <c r="G66" s="280">
        <f>'[20]Школа сахар. диабета(Пр.20-23)'!G66+'[20]Откл.Пр.3-24-Пр.20-23'!G66</f>
        <v>0</v>
      </c>
      <c r="I66" s="806"/>
      <c r="J66" s="806"/>
    </row>
    <row r="67" spans="1:10" x14ac:dyDescent="0.25">
      <c r="A67" s="279">
        <v>59</v>
      </c>
      <c r="B67" s="8" t="s">
        <v>198</v>
      </c>
      <c r="C67" s="282" t="s">
        <v>420</v>
      </c>
      <c r="D67" s="280">
        <f t="shared" si="0"/>
        <v>0</v>
      </c>
      <c r="E67" s="280">
        <v>0</v>
      </c>
      <c r="F67" s="280">
        <v>0</v>
      </c>
      <c r="G67" s="280">
        <f>'[20]Школа сахар. диабета(Пр.20-23)'!G67+'[20]Откл.Пр.3-24-Пр.20-23'!G67</f>
        <v>0</v>
      </c>
      <c r="I67" s="806"/>
      <c r="J67" s="806"/>
    </row>
    <row r="68" spans="1:10" x14ac:dyDescent="0.25">
      <c r="A68" s="279">
        <v>60</v>
      </c>
      <c r="B68" s="10" t="s">
        <v>62</v>
      </c>
      <c r="C68" s="282" t="s">
        <v>421</v>
      </c>
      <c r="D68" s="280">
        <f t="shared" si="0"/>
        <v>1396</v>
      </c>
      <c r="E68" s="280">
        <v>200</v>
      </c>
      <c r="F68" s="280">
        <v>1196</v>
      </c>
      <c r="G68" s="280">
        <f>'[20]Школа сахар. диабета(Пр.20-23)'!G68+'[20]Откл.Пр.3-24-Пр.20-23'!G68</f>
        <v>0</v>
      </c>
      <c r="I68" s="806"/>
      <c r="J68" s="806"/>
    </row>
    <row r="69" spans="1:10" x14ac:dyDescent="0.25">
      <c r="A69" s="279">
        <v>61</v>
      </c>
      <c r="B69" s="10" t="s">
        <v>64</v>
      </c>
      <c r="C69" s="9" t="s">
        <v>201</v>
      </c>
      <c r="D69" s="280">
        <f t="shared" si="0"/>
        <v>784</v>
      </c>
      <c r="E69" s="280">
        <v>113</v>
      </c>
      <c r="F69" s="280">
        <v>671</v>
      </c>
      <c r="G69" s="280">
        <f>'[20]Школа сахар. диабета(Пр.20-23)'!G69+'[20]Откл.Пр.3-24-Пр.20-23'!G69</f>
        <v>0</v>
      </c>
      <c r="I69" s="806"/>
      <c r="J69" s="806"/>
    </row>
    <row r="70" spans="1:10" x14ac:dyDescent="0.25">
      <c r="A70" s="279">
        <v>62</v>
      </c>
      <c r="B70" s="10" t="s">
        <v>66</v>
      </c>
      <c r="C70" s="282" t="s">
        <v>422</v>
      </c>
      <c r="D70" s="280">
        <f t="shared" si="0"/>
        <v>1459</v>
      </c>
      <c r="E70" s="280">
        <v>269</v>
      </c>
      <c r="F70" s="280">
        <v>1190</v>
      </c>
      <c r="G70" s="280">
        <f>'[20]Школа сахар. диабета(Пр.20-23)'!G70+'[20]Откл.Пр.3-24-Пр.20-23'!G70</f>
        <v>0</v>
      </c>
      <c r="I70" s="806"/>
      <c r="J70" s="806"/>
    </row>
    <row r="71" spans="1:10" x14ac:dyDescent="0.25">
      <c r="A71" s="279">
        <v>63</v>
      </c>
      <c r="B71" s="10" t="s">
        <v>203</v>
      </c>
      <c r="C71" s="282" t="s">
        <v>423</v>
      </c>
      <c r="D71" s="280">
        <f t="shared" si="0"/>
        <v>0</v>
      </c>
      <c r="E71" s="280">
        <v>0</v>
      </c>
      <c r="F71" s="280">
        <v>0</v>
      </c>
      <c r="G71" s="280">
        <f>'[20]Школа сахар. диабета(Пр.20-23)'!G71+'[20]Откл.Пр.3-24-Пр.20-23'!G71</f>
        <v>0</v>
      </c>
      <c r="I71" s="806"/>
      <c r="J71" s="806"/>
    </row>
    <row r="72" spans="1:10" x14ac:dyDescent="0.25">
      <c r="A72" s="279">
        <v>64</v>
      </c>
      <c r="B72" s="8" t="s">
        <v>205</v>
      </c>
      <c r="C72" s="282" t="s">
        <v>424</v>
      </c>
      <c r="D72" s="280">
        <f t="shared" si="0"/>
        <v>0</v>
      </c>
      <c r="E72" s="280">
        <v>0</v>
      </c>
      <c r="F72" s="280">
        <v>0</v>
      </c>
      <c r="G72" s="280">
        <f>'[20]Школа сахар. диабета(Пр.20-23)'!G72+'[20]Откл.Пр.3-24-Пр.20-23'!G72</f>
        <v>0</v>
      </c>
      <c r="I72" s="806"/>
      <c r="J72" s="806"/>
    </row>
    <row r="73" spans="1:10" x14ac:dyDescent="0.25">
      <c r="A73" s="279">
        <v>65</v>
      </c>
      <c r="B73" s="10" t="s">
        <v>207</v>
      </c>
      <c r="C73" s="282" t="s">
        <v>425</v>
      </c>
      <c r="D73" s="280">
        <f t="shared" si="0"/>
        <v>0</v>
      </c>
      <c r="E73" s="280">
        <v>0</v>
      </c>
      <c r="F73" s="280">
        <v>0</v>
      </c>
      <c r="G73" s="280">
        <f>'[20]Школа сахар. диабета(Пр.20-23)'!G73+'[20]Откл.Пр.3-24-Пр.20-23'!G73</f>
        <v>0</v>
      </c>
      <c r="I73" s="806"/>
      <c r="J73" s="806"/>
    </row>
    <row r="74" spans="1:10" x14ac:dyDescent="0.25">
      <c r="A74" s="279">
        <v>66</v>
      </c>
      <c r="B74" s="10" t="s">
        <v>209</v>
      </c>
      <c r="C74" s="282" t="s">
        <v>426</v>
      </c>
      <c r="D74" s="280">
        <f t="shared" ref="D74:D137" si="1">SUM(E74:G74)</f>
        <v>0</v>
      </c>
      <c r="E74" s="280">
        <v>0</v>
      </c>
      <c r="F74" s="280">
        <v>0</v>
      </c>
      <c r="G74" s="280">
        <f>'[20]Школа сахар. диабета(Пр.20-23)'!G74+'[20]Откл.Пр.3-24-Пр.20-23'!G74</f>
        <v>0</v>
      </c>
      <c r="I74" s="806"/>
      <c r="J74" s="806"/>
    </row>
    <row r="75" spans="1:10" x14ac:dyDescent="0.25">
      <c r="A75" s="279">
        <v>67</v>
      </c>
      <c r="B75" s="8" t="s">
        <v>211</v>
      </c>
      <c r="C75" s="282" t="s">
        <v>427</v>
      </c>
      <c r="D75" s="280">
        <f t="shared" si="1"/>
        <v>0</v>
      </c>
      <c r="E75" s="280">
        <v>0</v>
      </c>
      <c r="F75" s="280">
        <v>0</v>
      </c>
      <c r="G75" s="280">
        <f>'[20]Школа сахар. диабета(Пр.20-23)'!G75+'[20]Откл.Пр.3-24-Пр.20-23'!G75</f>
        <v>0</v>
      </c>
      <c r="I75" s="806"/>
      <c r="J75" s="806"/>
    </row>
    <row r="76" spans="1:10" x14ac:dyDescent="0.25">
      <c r="A76" s="279">
        <v>68</v>
      </c>
      <c r="B76" s="8" t="s">
        <v>213</v>
      </c>
      <c r="C76" s="282" t="s">
        <v>428</v>
      </c>
      <c r="D76" s="280">
        <f t="shared" si="1"/>
        <v>0</v>
      </c>
      <c r="E76" s="280">
        <v>0</v>
      </c>
      <c r="F76" s="280">
        <v>0</v>
      </c>
      <c r="G76" s="280">
        <f>'[20]Школа сахар. диабета(Пр.20-23)'!G76+'[20]Откл.Пр.3-24-Пр.20-23'!G76</f>
        <v>0</v>
      </c>
      <c r="I76" s="806"/>
      <c r="J76" s="806"/>
    </row>
    <row r="77" spans="1:10" x14ac:dyDescent="0.25">
      <c r="A77" s="279">
        <v>69</v>
      </c>
      <c r="B77" s="8" t="s">
        <v>215</v>
      </c>
      <c r="C77" s="282" t="s">
        <v>429</v>
      </c>
      <c r="D77" s="280">
        <f t="shared" si="1"/>
        <v>0</v>
      </c>
      <c r="E77" s="280">
        <v>0</v>
      </c>
      <c r="F77" s="280">
        <v>0</v>
      </c>
      <c r="G77" s="280">
        <f>'[20]Школа сахар. диабета(Пр.20-23)'!G77+'[20]Откл.Пр.3-24-Пр.20-23'!G77</f>
        <v>0</v>
      </c>
      <c r="I77" s="806"/>
      <c r="J77" s="806"/>
    </row>
    <row r="78" spans="1:10" x14ac:dyDescent="0.25">
      <c r="A78" s="279">
        <v>70</v>
      </c>
      <c r="B78" s="281" t="s">
        <v>217</v>
      </c>
      <c r="C78" s="282" t="s">
        <v>218</v>
      </c>
      <c r="D78" s="280">
        <f t="shared" si="1"/>
        <v>1145</v>
      </c>
      <c r="E78" s="280">
        <v>166</v>
      </c>
      <c r="F78" s="280">
        <v>936</v>
      </c>
      <c r="G78" s="280">
        <f>'[20]Школа сахар. диабета(Пр.20-23)'!G78+'[20]Откл.Пр.3-24-Пр.20-23'!G78</f>
        <v>43</v>
      </c>
      <c r="I78" s="806"/>
      <c r="J78" s="806"/>
    </row>
    <row r="79" spans="1:10" x14ac:dyDescent="0.25">
      <c r="A79" s="279">
        <v>71</v>
      </c>
      <c r="B79" s="8" t="s">
        <v>50</v>
      </c>
      <c r="C79" s="282" t="s">
        <v>430</v>
      </c>
      <c r="D79" s="280">
        <f t="shared" si="1"/>
        <v>1600</v>
      </c>
      <c r="E79" s="280">
        <v>235</v>
      </c>
      <c r="F79" s="280">
        <v>1365</v>
      </c>
      <c r="G79" s="280">
        <f>'[20]Школа сахар. диабета(Пр.20-23)'!G79+'[20]Откл.Пр.3-24-Пр.20-23'!G79</f>
        <v>0</v>
      </c>
      <c r="I79" s="806"/>
      <c r="J79" s="806"/>
    </row>
    <row r="80" spans="1:10" x14ac:dyDescent="0.25">
      <c r="A80" s="279">
        <v>72</v>
      </c>
      <c r="B80" s="281" t="s">
        <v>52</v>
      </c>
      <c r="C80" s="282" t="s">
        <v>220</v>
      </c>
      <c r="D80" s="280">
        <f t="shared" si="1"/>
        <v>1467</v>
      </c>
      <c r="E80" s="280">
        <v>196</v>
      </c>
      <c r="F80" s="280">
        <v>1271</v>
      </c>
      <c r="G80" s="280">
        <f>'[20]Школа сахар. диабета(Пр.20-23)'!G80+'[20]Откл.Пр.3-24-Пр.20-23'!G80</f>
        <v>0</v>
      </c>
      <c r="I80" s="806"/>
      <c r="J80" s="806"/>
    </row>
    <row r="81" spans="1:10" x14ac:dyDescent="0.25">
      <c r="A81" s="279">
        <v>73</v>
      </c>
      <c r="B81" s="283" t="s">
        <v>44</v>
      </c>
      <c r="C81" s="284" t="s">
        <v>221</v>
      </c>
      <c r="D81" s="280">
        <f t="shared" si="1"/>
        <v>0</v>
      </c>
      <c r="E81" s="280">
        <v>0</v>
      </c>
      <c r="F81" s="280">
        <v>0</v>
      </c>
      <c r="G81" s="280">
        <f>'[20]Школа сахар. диабета(Пр.20-23)'!G81+'[20]Откл.Пр.3-24-Пр.20-23'!G81</f>
        <v>0</v>
      </c>
      <c r="I81" s="806"/>
      <c r="J81" s="806"/>
    </row>
    <row r="82" spans="1:10" x14ac:dyDescent="0.25">
      <c r="A82" s="279">
        <v>74</v>
      </c>
      <c r="B82" s="8" t="s">
        <v>54</v>
      </c>
      <c r="C82" s="282" t="s">
        <v>222</v>
      </c>
      <c r="D82" s="280">
        <f t="shared" si="1"/>
        <v>1712</v>
      </c>
      <c r="E82" s="280">
        <v>380</v>
      </c>
      <c r="F82" s="280">
        <v>1332</v>
      </c>
      <c r="G82" s="280">
        <f>'[20]Школа сахар. диабета(Пр.20-23)'!G82+'[20]Откл.Пр.3-24-Пр.20-23'!G82</f>
        <v>0</v>
      </c>
      <c r="I82" s="806"/>
      <c r="J82" s="806"/>
    </row>
    <row r="83" spans="1:10" x14ac:dyDescent="0.25">
      <c r="A83" s="279">
        <v>75</v>
      </c>
      <c r="B83" s="283" t="s">
        <v>36</v>
      </c>
      <c r="C83" s="284" t="s">
        <v>37</v>
      </c>
      <c r="D83" s="280">
        <f t="shared" si="1"/>
        <v>50</v>
      </c>
      <c r="E83" s="280">
        <v>0</v>
      </c>
      <c r="F83" s="280">
        <v>0</v>
      </c>
      <c r="G83" s="280">
        <f>'[20]Школа сахар. диабета(Пр.20-23)'!G83+'[20]Откл.Пр.3-24-Пр.20-23'!G83</f>
        <v>50</v>
      </c>
      <c r="I83" s="806"/>
      <c r="J83" s="806"/>
    </row>
    <row r="84" spans="1:10" x14ac:dyDescent="0.25">
      <c r="A84" s="279">
        <v>76</v>
      </c>
      <c r="B84" s="8" t="s">
        <v>48</v>
      </c>
      <c r="C84" s="282" t="s">
        <v>431</v>
      </c>
      <c r="D84" s="280">
        <f t="shared" si="1"/>
        <v>1805</v>
      </c>
      <c r="E84" s="280">
        <v>249</v>
      </c>
      <c r="F84" s="280">
        <v>1556</v>
      </c>
      <c r="G84" s="280">
        <f>'[20]Школа сахар. диабета(Пр.20-23)'!G84+'[20]Откл.Пр.3-24-Пр.20-23'!G84</f>
        <v>0</v>
      </c>
      <c r="I84" s="806"/>
      <c r="J84" s="806"/>
    </row>
    <row r="85" spans="1:10" x14ac:dyDescent="0.25">
      <c r="A85" s="279">
        <v>77</v>
      </c>
      <c r="B85" s="283" t="s">
        <v>224</v>
      </c>
      <c r="C85" s="253" t="s">
        <v>225</v>
      </c>
      <c r="D85" s="280">
        <f t="shared" si="1"/>
        <v>0</v>
      </c>
      <c r="E85" s="280">
        <v>0</v>
      </c>
      <c r="F85" s="280">
        <v>0</v>
      </c>
      <c r="G85" s="280">
        <f>'[20]Школа сахар. диабета(Пр.20-23)'!G85+'[20]Откл.Пр.3-24-Пр.20-23'!G85</f>
        <v>0</v>
      </c>
      <c r="I85" s="806"/>
      <c r="J85" s="806"/>
    </row>
    <row r="86" spans="1:10" x14ac:dyDescent="0.25">
      <c r="A86" s="279">
        <v>78</v>
      </c>
      <c r="B86" s="10" t="s">
        <v>226</v>
      </c>
      <c r="C86" s="253" t="s">
        <v>227</v>
      </c>
      <c r="D86" s="280">
        <f t="shared" si="1"/>
        <v>0</v>
      </c>
      <c r="E86" s="280">
        <v>0</v>
      </c>
      <c r="F86" s="280">
        <v>0</v>
      </c>
      <c r="G86" s="280">
        <f>'[20]Школа сахар. диабета(Пр.20-23)'!G86+'[20]Откл.Пр.3-24-Пр.20-23'!G86</f>
        <v>0</v>
      </c>
      <c r="I86" s="806"/>
      <c r="J86" s="806"/>
    </row>
    <row r="87" spans="1:10" x14ac:dyDescent="0.25">
      <c r="A87" s="1117">
        <v>79</v>
      </c>
      <c r="B87" s="1120" t="s">
        <v>228</v>
      </c>
      <c r="C87" s="282" t="s">
        <v>229</v>
      </c>
      <c r="D87" s="280">
        <f t="shared" si="1"/>
        <v>0</v>
      </c>
      <c r="E87" s="280">
        <v>0</v>
      </c>
      <c r="F87" s="280">
        <v>0</v>
      </c>
      <c r="G87" s="280">
        <f>'[20]Школа сахар. диабета(Пр.20-23)'!G87+'[20]Откл.Пр.3-24-Пр.20-23'!G87</f>
        <v>0</v>
      </c>
      <c r="I87" s="806"/>
      <c r="J87" s="806"/>
    </row>
    <row r="88" spans="1:10" ht="30" x14ac:dyDescent="0.25">
      <c r="A88" s="1118"/>
      <c r="B88" s="1121"/>
      <c r="C88" s="253" t="s">
        <v>230</v>
      </c>
      <c r="D88" s="280">
        <f t="shared" si="1"/>
        <v>0</v>
      </c>
      <c r="E88" s="280">
        <v>0</v>
      </c>
      <c r="F88" s="280">
        <v>0</v>
      </c>
      <c r="G88" s="280">
        <f>'[20]Школа сахар. диабета(Пр.20-23)'!G88+'[20]Откл.Пр.3-24-Пр.20-23'!G88</f>
        <v>0</v>
      </c>
      <c r="I88" s="806"/>
      <c r="J88" s="806"/>
    </row>
    <row r="89" spans="1:10" x14ac:dyDescent="0.25">
      <c r="A89" s="1118"/>
      <c r="B89" s="1121"/>
      <c r="C89" s="253" t="s">
        <v>231</v>
      </c>
      <c r="D89" s="280">
        <f t="shared" si="1"/>
        <v>0</v>
      </c>
      <c r="E89" s="280">
        <v>0</v>
      </c>
      <c r="F89" s="280">
        <v>0</v>
      </c>
      <c r="G89" s="280">
        <f>'[20]Школа сахар. диабета(Пр.20-23)'!G89+'[20]Откл.Пр.3-24-Пр.20-23'!G89</f>
        <v>0</v>
      </c>
      <c r="I89" s="806"/>
      <c r="J89" s="806"/>
    </row>
    <row r="90" spans="1:10" ht="30" x14ac:dyDescent="0.25">
      <c r="A90" s="1119"/>
      <c r="B90" s="1122"/>
      <c r="C90" s="288" t="s">
        <v>232</v>
      </c>
      <c r="D90" s="280">
        <f t="shared" si="1"/>
        <v>0</v>
      </c>
      <c r="E90" s="280">
        <v>0</v>
      </c>
      <c r="F90" s="280">
        <v>0</v>
      </c>
      <c r="G90" s="280">
        <f>'[20]Школа сахар. диабета(Пр.20-23)'!G90+'[20]Откл.Пр.3-24-Пр.20-23'!G90</f>
        <v>0</v>
      </c>
      <c r="I90" s="806"/>
      <c r="J90" s="806"/>
    </row>
    <row r="91" spans="1:10" x14ac:dyDescent="0.25">
      <c r="A91" s="279">
        <v>80</v>
      </c>
      <c r="B91" s="10" t="s">
        <v>233</v>
      </c>
      <c r="C91" s="9" t="s">
        <v>234</v>
      </c>
      <c r="D91" s="280">
        <f t="shared" si="1"/>
        <v>0</v>
      </c>
      <c r="E91" s="280">
        <v>0</v>
      </c>
      <c r="F91" s="280">
        <v>0</v>
      </c>
      <c r="G91" s="280">
        <f>'[20]Школа сахар. диабета(Пр.20-23)'!G91+'[20]Откл.Пр.3-24-Пр.20-23'!G91</f>
        <v>0</v>
      </c>
      <c r="I91" s="806"/>
      <c r="J91" s="806"/>
    </row>
    <row r="92" spans="1:10" x14ac:dyDescent="0.25">
      <c r="A92" s="279">
        <v>81</v>
      </c>
      <c r="B92" s="10" t="s">
        <v>235</v>
      </c>
      <c r="C92" s="284" t="s">
        <v>236</v>
      </c>
      <c r="D92" s="280">
        <f t="shared" si="1"/>
        <v>0</v>
      </c>
      <c r="E92" s="280">
        <v>0</v>
      </c>
      <c r="F92" s="280">
        <v>0</v>
      </c>
      <c r="G92" s="280">
        <f>'[20]Школа сахар. диабета(Пр.20-23)'!G92+'[20]Откл.Пр.3-24-Пр.20-23'!G92</f>
        <v>0</v>
      </c>
      <c r="I92" s="806"/>
      <c r="J92" s="806"/>
    </row>
    <row r="93" spans="1:10" x14ac:dyDescent="0.25">
      <c r="A93" s="279">
        <v>82</v>
      </c>
      <c r="B93" s="281" t="s">
        <v>74</v>
      </c>
      <c r="C93" s="282" t="s">
        <v>237</v>
      </c>
      <c r="D93" s="280">
        <f t="shared" si="1"/>
        <v>0</v>
      </c>
      <c r="E93" s="280">
        <v>0</v>
      </c>
      <c r="F93" s="280">
        <v>0</v>
      </c>
      <c r="G93" s="280">
        <f>'[20]Школа сахар. диабета(Пр.20-23)'!G93+'[20]Откл.Пр.3-24-Пр.20-23'!G93</f>
        <v>0</v>
      </c>
      <c r="I93" s="806"/>
      <c r="J93" s="806"/>
    </row>
    <row r="94" spans="1:10" x14ac:dyDescent="0.25">
      <c r="A94" s="279">
        <v>83</v>
      </c>
      <c r="B94" s="10" t="s">
        <v>38</v>
      </c>
      <c r="C94" s="9" t="s">
        <v>39</v>
      </c>
      <c r="D94" s="280">
        <f t="shared" si="1"/>
        <v>8</v>
      </c>
      <c r="E94" s="280">
        <v>0</v>
      </c>
      <c r="F94" s="280">
        <v>0</v>
      </c>
      <c r="G94" s="280">
        <f>'[20]Школа сахар. диабета(Пр.20-23)'!G94+'[20]Откл.Пр.3-24-Пр.20-23'!G94</f>
        <v>8</v>
      </c>
      <c r="I94" s="806"/>
      <c r="J94" s="806"/>
    </row>
    <row r="95" spans="1:10" x14ac:dyDescent="0.25">
      <c r="A95" s="279">
        <v>84</v>
      </c>
      <c r="B95" s="281" t="s">
        <v>40</v>
      </c>
      <c r="C95" s="282" t="s">
        <v>41</v>
      </c>
      <c r="D95" s="280">
        <f t="shared" si="1"/>
        <v>4</v>
      </c>
      <c r="E95" s="280">
        <v>0</v>
      </c>
      <c r="F95" s="280">
        <v>0</v>
      </c>
      <c r="G95" s="280">
        <f>'[20]Школа сахар. диабета(Пр.20-23)'!G95+'[20]Откл.Пр.3-24-Пр.20-23'!G95</f>
        <v>4</v>
      </c>
      <c r="I95" s="806"/>
      <c r="J95" s="806"/>
    </row>
    <row r="96" spans="1:10" x14ac:dyDescent="0.25">
      <c r="A96" s="279">
        <v>85</v>
      </c>
      <c r="B96" s="281" t="s">
        <v>238</v>
      </c>
      <c r="C96" s="282" t="s">
        <v>239</v>
      </c>
      <c r="D96" s="280">
        <f t="shared" si="1"/>
        <v>767</v>
      </c>
      <c r="E96" s="280">
        <v>103</v>
      </c>
      <c r="F96" s="280">
        <v>639</v>
      </c>
      <c r="G96" s="280">
        <f>'[20]Школа сахар. диабета(Пр.20-23)'!G96+'[20]Откл.Пр.3-24-Пр.20-23'!G96</f>
        <v>25</v>
      </c>
      <c r="I96" s="806"/>
      <c r="J96" s="806"/>
    </row>
    <row r="97" spans="1:10" x14ac:dyDescent="0.25">
      <c r="A97" s="279">
        <v>86</v>
      </c>
      <c r="B97" s="10" t="s">
        <v>240</v>
      </c>
      <c r="C97" s="284" t="s">
        <v>241</v>
      </c>
      <c r="D97" s="280">
        <f t="shared" si="1"/>
        <v>3</v>
      </c>
      <c r="E97" s="280">
        <v>0</v>
      </c>
      <c r="F97" s="280">
        <v>0</v>
      </c>
      <c r="G97" s="280">
        <f>'[20]Школа сахар. диабета(Пр.20-23)'!G97+'[20]Откл.Пр.3-24-Пр.20-23'!G97</f>
        <v>3</v>
      </c>
      <c r="I97" s="806"/>
      <c r="J97" s="806"/>
    </row>
    <row r="98" spans="1:10" x14ac:dyDescent="0.25">
      <c r="A98" s="279">
        <v>87</v>
      </c>
      <c r="B98" s="10" t="s">
        <v>88</v>
      </c>
      <c r="C98" s="9" t="s">
        <v>89</v>
      </c>
      <c r="D98" s="280">
        <f t="shared" si="1"/>
        <v>821</v>
      </c>
      <c r="E98" s="280">
        <v>81</v>
      </c>
      <c r="F98" s="280">
        <v>724</v>
      </c>
      <c r="G98" s="280">
        <f>'[20]Школа сахар. диабета(Пр.20-23)'!G98+'[20]Откл.Пр.3-24-Пр.20-23'!G98</f>
        <v>16</v>
      </c>
      <c r="I98" s="806"/>
      <c r="J98" s="806"/>
    </row>
    <row r="99" spans="1:10" x14ac:dyDescent="0.25">
      <c r="A99" s="279">
        <v>88</v>
      </c>
      <c r="B99" s="8" t="s">
        <v>242</v>
      </c>
      <c r="C99" s="9" t="s">
        <v>243</v>
      </c>
      <c r="D99" s="280">
        <f t="shared" si="1"/>
        <v>861</v>
      </c>
      <c r="E99" s="280">
        <v>148</v>
      </c>
      <c r="F99" s="280">
        <v>686</v>
      </c>
      <c r="G99" s="280">
        <f>'[20]Школа сахар. диабета(Пр.20-23)'!G99+'[20]Откл.Пр.3-24-Пр.20-23'!G99</f>
        <v>27</v>
      </c>
      <c r="I99" s="806"/>
      <c r="J99" s="806"/>
    </row>
    <row r="100" spans="1:10" x14ac:dyDescent="0.25">
      <c r="A100" s="279">
        <v>89</v>
      </c>
      <c r="B100" s="8" t="s">
        <v>244</v>
      </c>
      <c r="C100" s="9" t="s">
        <v>245</v>
      </c>
      <c r="D100" s="280">
        <f t="shared" si="1"/>
        <v>849</v>
      </c>
      <c r="E100" s="280">
        <v>102</v>
      </c>
      <c r="F100" s="280">
        <v>725</v>
      </c>
      <c r="G100" s="280">
        <f>'[20]Школа сахар. диабета(Пр.20-23)'!G100+'[20]Откл.Пр.3-24-Пр.20-23'!G100</f>
        <v>22</v>
      </c>
      <c r="I100" s="806"/>
      <c r="J100" s="806"/>
    </row>
    <row r="101" spans="1:10" x14ac:dyDescent="0.25">
      <c r="A101" s="279">
        <v>90</v>
      </c>
      <c r="B101" s="281" t="s">
        <v>246</v>
      </c>
      <c r="C101" s="282" t="s">
        <v>247</v>
      </c>
      <c r="D101" s="280">
        <f t="shared" si="1"/>
        <v>644</v>
      </c>
      <c r="E101" s="280">
        <v>42</v>
      </c>
      <c r="F101" s="280">
        <v>589</v>
      </c>
      <c r="G101" s="280">
        <f>'[20]Школа сахар. диабета(Пр.20-23)'!G101+'[20]Откл.Пр.3-24-Пр.20-23'!G101</f>
        <v>13</v>
      </c>
      <c r="I101" s="806"/>
      <c r="J101" s="806"/>
    </row>
    <row r="102" spans="1:10" x14ac:dyDescent="0.25">
      <c r="A102" s="279">
        <v>91</v>
      </c>
      <c r="B102" s="283" t="s">
        <v>248</v>
      </c>
      <c r="C102" s="284" t="s">
        <v>249</v>
      </c>
      <c r="D102" s="280">
        <f t="shared" si="1"/>
        <v>8</v>
      </c>
      <c r="E102" s="280">
        <v>0</v>
      </c>
      <c r="F102" s="280">
        <v>0</v>
      </c>
      <c r="G102" s="280">
        <f>'[20]Школа сахар. диабета(Пр.20-23)'!G102+'[20]Откл.Пр.3-24-Пр.20-23'!G102</f>
        <v>8</v>
      </c>
      <c r="I102" s="806"/>
      <c r="J102" s="806"/>
    </row>
    <row r="103" spans="1:10" x14ac:dyDescent="0.25">
      <c r="A103" s="279">
        <v>92</v>
      </c>
      <c r="B103" s="8" t="s">
        <v>250</v>
      </c>
      <c r="C103" s="9" t="s">
        <v>251</v>
      </c>
      <c r="D103" s="280">
        <f t="shared" si="1"/>
        <v>4</v>
      </c>
      <c r="E103" s="280">
        <v>0</v>
      </c>
      <c r="F103" s="280">
        <v>0</v>
      </c>
      <c r="G103" s="280">
        <f>'[20]Школа сахар. диабета(Пр.20-23)'!G103+'[20]Откл.Пр.3-24-Пр.20-23'!G103</f>
        <v>4</v>
      </c>
      <c r="I103" s="806"/>
      <c r="J103" s="806"/>
    </row>
    <row r="104" spans="1:10" x14ac:dyDescent="0.25">
      <c r="A104" s="279">
        <v>93</v>
      </c>
      <c r="B104" s="10" t="s">
        <v>32</v>
      </c>
      <c r="C104" s="9" t="s">
        <v>33</v>
      </c>
      <c r="D104" s="280">
        <f t="shared" si="1"/>
        <v>715</v>
      </c>
      <c r="E104" s="280">
        <v>80</v>
      </c>
      <c r="F104" s="280">
        <v>622</v>
      </c>
      <c r="G104" s="280">
        <f>'[20]Школа сахар. диабета(Пр.20-23)'!G104+'[20]Откл.Пр.3-24-Пр.20-23'!G104</f>
        <v>13</v>
      </c>
      <c r="I104" s="806"/>
      <c r="J104" s="806"/>
    </row>
    <row r="105" spans="1:10" x14ac:dyDescent="0.25">
      <c r="A105" s="279">
        <v>94</v>
      </c>
      <c r="B105" s="281" t="s">
        <v>252</v>
      </c>
      <c r="C105" s="282" t="s">
        <v>253</v>
      </c>
      <c r="D105" s="280">
        <f t="shared" si="1"/>
        <v>12</v>
      </c>
      <c r="E105" s="280">
        <v>0</v>
      </c>
      <c r="F105" s="280">
        <v>0</v>
      </c>
      <c r="G105" s="280">
        <f>'[20]Школа сахар. диабета(Пр.20-23)'!G105+'[20]Откл.Пр.3-24-Пр.20-23'!G105</f>
        <v>12</v>
      </c>
      <c r="I105" s="806"/>
      <c r="J105" s="806"/>
    </row>
    <row r="106" spans="1:10" x14ac:dyDescent="0.25">
      <c r="A106" s="279">
        <v>95</v>
      </c>
      <c r="B106" s="281" t="s">
        <v>254</v>
      </c>
      <c r="C106" s="282" t="s">
        <v>255</v>
      </c>
      <c r="D106" s="280">
        <f t="shared" si="1"/>
        <v>963</v>
      </c>
      <c r="E106" s="280">
        <v>118</v>
      </c>
      <c r="F106" s="280">
        <v>839</v>
      </c>
      <c r="G106" s="280">
        <f>'[20]Школа сахар. диабета(Пр.20-23)'!G106+'[20]Откл.Пр.3-24-Пр.20-23'!G106</f>
        <v>6</v>
      </c>
      <c r="I106" s="806"/>
      <c r="J106" s="806"/>
    </row>
    <row r="107" spans="1:10" x14ac:dyDescent="0.25">
      <c r="A107" s="279">
        <v>96</v>
      </c>
      <c r="B107" s="8" t="s">
        <v>256</v>
      </c>
      <c r="C107" s="9" t="s">
        <v>257</v>
      </c>
      <c r="D107" s="280">
        <f t="shared" si="1"/>
        <v>721</v>
      </c>
      <c r="E107" s="280">
        <v>112</v>
      </c>
      <c r="F107" s="280">
        <v>592</v>
      </c>
      <c r="G107" s="280">
        <f>'[20]Школа сахар. диабета(Пр.20-23)'!G107+'[20]Откл.Пр.3-24-Пр.20-23'!G107</f>
        <v>17</v>
      </c>
      <c r="I107" s="806"/>
      <c r="J107" s="806"/>
    </row>
    <row r="108" spans="1:10" x14ac:dyDescent="0.25">
      <c r="A108" s="279">
        <v>97</v>
      </c>
      <c r="B108" s="10" t="s">
        <v>76</v>
      </c>
      <c r="C108" s="9" t="s">
        <v>77</v>
      </c>
      <c r="D108" s="280">
        <f t="shared" si="1"/>
        <v>10</v>
      </c>
      <c r="E108" s="280">
        <v>0</v>
      </c>
      <c r="F108" s="280">
        <v>0</v>
      </c>
      <c r="G108" s="280">
        <f>'[20]Школа сахар. диабета(Пр.20-23)'!G108+'[20]Откл.Пр.3-24-Пр.20-23'!G108</f>
        <v>10</v>
      </c>
      <c r="I108" s="806"/>
      <c r="J108" s="806"/>
    </row>
    <row r="109" spans="1:10" x14ac:dyDescent="0.25">
      <c r="A109" s="279">
        <v>98</v>
      </c>
      <c r="B109" s="8" t="s">
        <v>258</v>
      </c>
      <c r="C109" s="282" t="s">
        <v>259</v>
      </c>
      <c r="D109" s="280">
        <f t="shared" si="1"/>
        <v>0</v>
      </c>
      <c r="E109" s="280">
        <v>0</v>
      </c>
      <c r="F109" s="280">
        <v>0</v>
      </c>
      <c r="G109" s="280">
        <f>'[20]Школа сахар. диабета(Пр.20-23)'!G109+'[20]Откл.Пр.3-24-Пр.20-23'!G109</f>
        <v>0</v>
      </c>
      <c r="I109" s="806"/>
      <c r="J109" s="806"/>
    </row>
    <row r="110" spans="1:10" x14ac:dyDescent="0.25">
      <c r="A110" s="279">
        <v>99</v>
      </c>
      <c r="B110" s="8" t="s">
        <v>260</v>
      </c>
      <c r="C110" s="9" t="s">
        <v>261</v>
      </c>
      <c r="D110" s="280">
        <f t="shared" si="1"/>
        <v>0</v>
      </c>
      <c r="E110" s="280">
        <v>0</v>
      </c>
      <c r="F110" s="280">
        <v>0</v>
      </c>
      <c r="G110" s="280">
        <f>'[20]Школа сахар. диабета(Пр.20-23)'!G110+'[20]Откл.Пр.3-24-Пр.20-23'!G110</f>
        <v>0</v>
      </c>
      <c r="I110" s="806"/>
      <c r="J110" s="806"/>
    </row>
    <row r="111" spans="1:10" x14ac:dyDescent="0.25">
      <c r="A111" s="279">
        <v>100</v>
      </c>
      <c r="B111" s="281" t="s">
        <v>264</v>
      </c>
      <c r="C111" s="282" t="s">
        <v>265</v>
      </c>
      <c r="D111" s="280">
        <f t="shared" si="1"/>
        <v>0</v>
      </c>
      <c r="E111" s="280">
        <v>0</v>
      </c>
      <c r="F111" s="280">
        <v>0</v>
      </c>
      <c r="G111" s="280">
        <f>'[20]Школа сахар. диабета(Пр.20-23)'!G111+'[20]Откл.Пр.3-24-Пр.20-23'!G111</f>
        <v>0</v>
      </c>
      <c r="I111" s="806"/>
      <c r="J111" s="806"/>
    </row>
    <row r="112" spans="1:10" x14ac:dyDescent="0.25">
      <c r="A112" s="279">
        <v>101</v>
      </c>
      <c r="B112" s="281" t="s">
        <v>266</v>
      </c>
      <c r="C112" s="282" t="s">
        <v>267</v>
      </c>
      <c r="D112" s="280">
        <f t="shared" si="1"/>
        <v>0</v>
      </c>
      <c r="E112" s="280">
        <v>0</v>
      </c>
      <c r="F112" s="280">
        <v>0</v>
      </c>
      <c r="G112" s="280">
        <f>'[20]Школа сахар. диабета(Пр.20-23)'!G112+'[20]Откл.Пр.3-24-Пр.20-23'!G112</f>
        <v>0</v>
      </c>
      <c r="I112" s="806"/>
      <c r="J112" s="806"/>
    </row>
    <row r="113" spans="1:10" x14ac:dyDescent="0.25">
      <c r="A113" s="279">
        <v>102</v>
      </c>
      <c r="B113" s="281" t="s">
        <v>268</v>
      </c>
      <c r="C113" s="282" t="s">
        <v>269</v>
      </c>
      <c r="D113" s="280">
        <f t="shared" si="1"/>
        <v>0</v>
      </c>
      <c r="E113" s="280">
        <v>0</v>
      </c>
      <c r="F113" s="280">
        <v>0</v>
      </c>
      <c r="G113" s="280">
        <f>'[20]Школа сахар. диабета(Пр.20-23)'!G113+'[20]Откл.Пр.3-24-Пр.20-23'!G113</f>
        <v>0</v>
      </c>
      <c r="I113" s="806"/>
      <c r="J113" s="806"/>
    </row>
    <row r="114" spans="1:10" x14ac:dyDescent="0.25">
      <c r="A114" s="279">
        <v>103</v>
      </c>
      <c r="B114" s="281" t="s">
        <v>270</v>
      </c>
      <c r="C114" s="282" t="s">
        <v>271</v>
      </c>
      <c r="D114" s="280">
        <f t="shared" si="1"/>
        <v>0</v>
      </c>
      <c r="E114" s="280">
        <v>0</v>
      </c>
      <c r="F114" s="280">
        <v>0</v>
      </c>
      <c r="G114" s="280">
        <f>'[20]Школа сахар. диабета(Пр.20-23)'!G114+'[20]Откл.Пр.3-24-Пр.20-23'!G114</f>
        <v>0</v>
      </c>
      <c r="I114" s="806"/>
      <c r="J114" s="806"/>
    </row>
    <row r="115" spans="1:10" x14ac:dyDescent="0.25">
      <c r="A115" s="279">
        <v>104</v>
      </c>
      <c r="B115" s="281" t="s">
        <v>272</v>
      </c>
      <c r="C115" s="282" t="s">
        <v>273</v>
      </c>
      <c r="D115" s="280">
        <f t="shared" si="1"/>
        <v>0</v>
      </c>
      <c r="E115" s="280">
        <v>0</v>
      </c>
      <c r="F115" s="280">
        <v>0</v>
      </c>
      <c r="G115" s="280">
        <f>'[20]Школа сахар. диабета(Пр.20-23)'!G115+'[20]Откл.Пр.3-24-Пр.20-23'!G115</f>
        <v>0</v>
      </c>
      <c r="I115" s="806"/>
      <c r="J115" s="806"/>
    </row>
    <row r="116" spans="1:10" x14ac:dyDescent="0.25">
      <c r="A116" s="279">
        <v>105</v>
      </c>
      <c r="B116" s="289" t="s">
        <v>274</v>
      </c>
      <c r="C116" s="290" t="s">
        <v>275</v>
      </c>
      <c r="D116" s="280">
        <f t="shared" si="1"/>
        <v>0</v>
      </c>
      <c r="E116" s="280">
        <v>0</v>
      </c>
      <c r="F116" s="280">
        <v>0</v>
      </c>
      <c r="G116" s="280">
        <f>'[20]Школа сахар. диабета(Пр.20-23)'!G116+'[20]Откл.Пр.3-24-Пр.20-23'!G116</f>
        <v>0</v>
      </c>
      <c r="I116" s="806"/>
      <c r="J116" s="806"/>
    </row>
    <row r="117" spans="1:10" x14ac:dyDescent="0.25">
      <c r="A117" s="279">
        <v>106</v>
      </c>
      <c r="B117" s="10" t="s">
        <v>276</v>
      </c>
      <c r="C117" s="9" t="s">
        <v>277</v>
      </c>
      <c r="D117" s="280">
        <f t="shared" si="1"/>
        <v>0</v>
      </c>
      <c r="E117" s="280">
        <v>0</v>
      </c>
      <c r="F117" s="280">
        <v>0</v>
      </c>
      <c r="G117" s="280">
        <f>'[20]Школа сахар. диабета(Пр.20-23)'!G117+'[20]Откл.Пр.3-24-Пр.20-23'!G117</f>
        <v>0</v>
      </c>
      <c r="I117" s="806"/>
      <c r="J117" s="806"/>
    </row>
    <row r="118" spans="1:10" x14ac:dyDescent="0.25">
      <c r="A118" s="279">
        <v>107</v>
      </c>
      <c r="B118" s="281" t="s">
        <v>278</v>
      </c>
      <c r="C118" s="282" t="s">
        <v>279</v>
      </c>
      <c r="D118" s="280">
        <f t="shared" si="1"/>
        <v>0</v>
      </c>
      <c r="E118" s="280">
        <v>0</v>
      </c>
      <c r="F118" s="280">
        <v>0</v>
      </c>
      <c r="G118" s="280">
        <f>'[20]Школа сахар. диабета(Пр.20-23)'!G118+'[20]Откл.Пр.3-24-Пр.20-23'!G118</f>
        <v>0</v>
      </c>
      <c r="I118" s="806"/>
      <c r="J118" s="806"/>
    </row>
    <row r="119" spans="1:10" x14ac:dyDescent="0.25">
      <c r="A119" s="279">
        <v>108</v>
      </c>
      <c r="B119" s="8" t="s">
        <v>280</v>
      </c>
      <c r="C119" s="291" t="s">
        <v>281</v>
      </c>
      <c r="D119" s="280">
        <f t="shared" si="1"/>
        <v>0</v>
      </c>
      <c r="E119" s="280">
        <v>0</v>
      </c>
      <c r="F119" s="280">
        <v>0</v>
      </c>
      <c r="G119" s="280">
        <f>'[20]Школа сахар. диабета(Пр.20-23)'!G119+'[20]Откл.Пр.3-24-Пр.20-23'!G119</f>
        <v>0</v>
      </c>
      <c r="I119" s="806"/>
      <c r="J119" s="806"/>
    </row>
    <row r="120" spans="1:10" x14ac:dyDescent="0.25">
      <c r="A120" s="279">
        <v>109</v>
      </c>
      <c r="B120" s="281" t="s">
        <v>282</v>
      </c>
      <c r="C120" s="253" t="s">
        <v>283</v>
      </c>
      <c r="D120" s="280">
        <f t="shared" si="1"/>
        <v>0</v>
      </c>
      <c r="E120" s="280">
        <v>0</v>
      </c>
      <c r="F120" s="280">
        <v>0</v>
      </c>
      <c r="G120" s="280">
        <f>'[20]Школа сахар. диабета(Пр.20-23)'!G120+'[20]Откл.Пр.3-24-Пр.20-23'!G120</f>
        <v>0</v>
      </c>
      <c r="I120" s="806"/>
      <c r="J120" s="806"/>
    </row>
    <row r="121" spans="1:10" x14ac:dyDescent="0.25">
      <c r="A121" s="279">
        <v>110</v>
      </c>
      <c r="B121" s="10" t="s">
        <v>284</v>
      </c>
      <c r="C121" s="282" t="s">
        <v>432</v>
      </c>
      <c r="D121" s="280">
        <f t="shared" si="1"/>
        <v>0</v>
      </c>
      <c r="E121" s="280">
        <v>0</v>
      </c>
      <c r="F121" s="280">
        <v>0</v>
      </c>
      <c r="G121" s="280">
        <f>'[20]Школа сахар. диабета(Пр.20-23)'!G121+'[20]Откл.Пр.3-24-Пр.20-23'!G121</f>
        <v>0</v>
      </c>
      <c r="I121" s="806"/>
      <c r="J121" s="806"/>
    </row>
    <row r="122" spans="1:10" x14ac:dyDescent="0.25">
      <c r="A122" s="279">
        <v>111</v>
      </c>
      <c r="B122" s="907" t="s">
        <v>780</v>
      </c>
      <c r="C122" s="253" t="s">
        <v>737</v>
      </c>
      <c r="D122" s="280">
        <f t="shared" si="1"/>
        <v>0</v>
      </c>
      <c r="E122" s="280">
        <v>0</v>
      </c>
      <c r="F122" s="280">
        <v>0</v>
      </c>
      <c r="G122" s="280">
        <f>'[20]Школа сахар. диабета(Пр.20-23)'!G122+'[20]Откл.Пр.3-24-Пр.20-23'!G122</f>
        <v>0</v>
      </c>
      <c r="I122" s="806"/>
      <c r="J122" s="806"/>
    </row>
    <row r="123" spans="1:10" x14ac:dyDescent="0.25">
      <c r="A123" s="279">
        <v>112</v>
      </c>
      <c r="B123" s="10" t="s">
        <v>286</v>
      </c>
      <c r="C123" s="282" t="s">
        <v>287</v>
      </c>
      <c r="D123" s="280">
        <f t="shared" si="1"/>
        <v>0</v>
      </c>
      <c r="E123" s="280">
        <v>0</v>
      </c>
      <c r="F123" s="280">
        <v>0</v>
      </c>
      <c r="G123" s="280">
        <f>'[20]Школа сахар. диабета(Пр.20-23)'!G123+'[20]Откл.Пр.3-24-Пр.20-23'!G123</f>
        <v>0</v>
      </c>
      <c r="I123" s="806"/>
      <c r="J123" s="806"/>
    </row>
    <row r="124" spans="1:10" x14ac:dyDescent="0.25">
      <c r="A124" s="279">
        <v>113</v>
      </c>
      <c r="B124" s="10" t="s">
        <v>288</v>
      </c>
      <c r="C124" s="253" t="s">
        <v>738</v>
      </c>
      <c r="D124" s="280">
        <f t="shared" si="1"/>
        <v>0</v>
      </c>
      <c r="E124" s="280">
        <v>0</v>
      </c>
      <c r="F124" s="280">
        <v>0</v>
      </c>
      <c r="G124" s="280">
        <f>'[20]Школа сахар. диабета(Пр.20-23)'!G124+'[20]Откл.Пр.3-24-Пр.20-23'!G124</f>
        <v>0</v>
      </c>
      <c r="I124" s="806"/>
      <c r="J124" s="806"/>
    </row>
    <row r="125" spans="1:10" x14ac:dyDescent="0.25">
      <c r="A125" s="279">
        <v>114</v>
      </c>
      <c r="B125" s="281" t="s">
        <v>290</v>
      </c>
      <c r="C125" s="282" t="s">
        <v>291</v>
      </c>
      <c r="D125" s="280">
        <f t="shared" si="1"/>
        <v>0</v>
      </c>
      <c r="E125" s="280">
        <v>0</v>
      </c>
      <c r="F125" s="280">
        <v>0</v>
      </c>
      <c r="G125" s="280">
        <f>'[20]Школа сахар. диабета(Пр.20-23)'!G125+'[20]Откл.Пр.3-24-Пр.20-23'!G125</f>
        <v>0</v>
      </c>
      <c r="I125" s="806"/>
      <c r="J125" s="806"/>
    </row>
    <row r="126" spans="1:10" x14ac:dyDescent="0.25">
      <c r="A126" s="279">
        <v>115</v>
      </c>
      <c r="B126" s="281" t="s">
        <v>292</v>
      </c>
      <c r="C126" s="292" t="s">
        <v>293</v>
      </c>
      <c r="D126" s="280">
        <f t="shared" si="1"/>
        <v>0</v>
      </c>
      <c r="E126" s="280">
        <v>0</v>
      </c>
      <c r="F126" s="280">
        <v>0</v>
      </c>
      <c r="G126" s="280">
        <f>'[20]Школа сахар. диабета(Пр.20-23)'!G126+'[20]Откл.Пр.3-24-Пр.20-23'!G126</f>
        <v>0</v>
      </c>
      <c r="I126" s="806"/>
      <c r="J126" s="806"/>
    </row>
    <row r="127" spans="1:10" x14ac:dyDescent="0.25">
      <c r="A127" s="279">
        <v>116</v>
      </c>
      <c r="B127" s="281" t="s">
        <v>294</v>
      </c>
      <c r="C127" s="282" t="s">
        <v>295</v>
      </c>
      <c r="D127" s="280">
        <f t="shared" si="1"/>
        <v>0</v>
      </c>
      <c r="E127" s="280">
        <v>0</v>
      </c>
      <c r="F127" s="280">
        <v>0</v>
      </c>
      <c r="G127" s="280">
        <f>'[20]Школа сахар. диабета(Пр.20-23)'!G127+'[20]Откл.Пр.3-24-Пр.20-23'!G127</f>
        <v>0</v>
      </c>
      <c r="I127" s="806"/>
      <c r="J127" s="806"/>
    </row>
    <row r="128" spans="1:10" x14ac:dyDescent="0.25">
      <c r="A128" s="279">
        <v>117</v>
      </c>
      <c r="B128" s="281" t="s">
        <v>70</v>
      </c>
      <c r="C128" s="282" t="s">
        <v>296</v>
      </c>
      <c r="D128" s="280">
        <f t="shared" si="1"/>
        <v>0</v>
      </c>
      <c r="E128" s="280">
        <v>0</v>
      </c>
      <c r="F128" s="280">
        <v>0</v>
      </c>
      <c r="G128" s="280">
        <f>'[20]Школа сахар. диабета(Пр.20-23)'!G128+'[20]Откл.Пр.3-24-Пр.20-23'!G128</f>
        <v>0</v>
      </c>
      <c r="I128" s="806"/>
      <c r="J128" s="806"/>
    </row>
    <row r="129" spans="1:10" x14ac:dyDescent="0.25">
      <c r="A129" s="279">
        <v>118</v>
      </c>
      <c r="B129" s="281" t="s">
        <v>72</v>
      </c>
      <c r="C129" s="282" t="s">
        <v>73</v>
      </c>
      <c r="D129" s="280">
        <f t="shared" si="1"/>
        <v>0</v>
      </c>
      <c r="E129" s="280">
        <v>0</v>
      </c>
      <c r="F129" s="280">
        <v>0</v>
      </c>
      <c r="G129" s="280">
        <f>'[20]Школа сахар. диабета(Пр.20-23)'!G129+'[20]Откл.Пр.3-24-Пр.20-23'!G129</f>
        <v>0</v>
      </c>
      <c r="I129" s="806"/>
      <c r="J129" s="806"/>
    </row>
    <row r="130" spans="1:10" x14ac:dyDescent="0.25">
      <c r="A130" s="279">
        <v>119</v>
      </c>
      <c r="B130" s="8" t="s">
        <v>34</v>
      </c>
      <c r="C130" s="9" t="s">
        <v>35</v>
      </c>
      <c r="D130" s="280">
        <f t="shared" si="1"/>
        <v>0</v>
      </c>
      <c r="E130" s="280">
        <v>0</v>
      </c>
      <c r="F130" s="280">
        <v>0</v>
      </c>
      <c r="G130" s="280">
        <f>'[20]Школа сахар. диабета(Пр.20-23)'!G130+'[20]Откл.Пр.3-24-Пр.20-23'!G130</f>
        <v>0</v>
      </c>
      <c r="I130" s="806"/>
      <c r="J130" s="806"/>
    </row>
    <row r="131" spans="1:10" x14ac:dyDescent="0.25">
      <c r="A131" s="279">
        <v>120</v>
      </c>
      <c r="B131" s="8" t="s">
        <v>297</v>
      </c>
      <c r="C131" s="282" t="s">
        <v>298</v>
      </c>
      <c r="D131" s="280">
        <f t="shared" si="1"/>
        <v>0</v>
      </c>
      <c r="E131" s="280">
        <v>0</v>
      </c>
      <c r="F131" s="280">
        <v>0</v>
      </c>
      <c r="G131" s="280">
        <f>'[20]Школа сахар. диабета(Пр.20-23)'!G131+'[20]Откл.Пр.3-24-Пр.20-23'!G131</f>
        <v>0</v>
      </c>
      <c r="I131" s="806"/>
      <c r="J131" s="806"/>
    </row>
    <row r="132" spans="1:10" x14ac:dyDescent="0.25">
      <c r="A132" s="279">
        <v>121</v>
      </c>
      <c r="B132" s="283" t="s">
        <v>299</v>
      </c>
      <c r="C132" s="284" t="s">
        <v>300</v>
      </c>
      <c r="D132" s="280">
        <f t="shared" si="1"/>
        <v>0</v>
      </c>
      <c r="E132" s="280">
        <v>0</v>
      </c>
      <c r="F132" s="280">
        <v>0</v>
      </c>
      <c r="G132" s="280">
        <f>'[20]Школа сахар. диабета(Пр.20-23)'!G132+'[20]Откл.Пр.3-24-Пр.20-23'!G132</f>
        <v>0</v>
      </c>
      <c r="I132" s="806"/>
      <c r="J132" s="806"/>
    </row>
    <row r="133" spans="1:10" x14ac:dyDescent="0.25">
      <c r="A133" s="279">
        <v>122</v>
      </c>
      <c r="B133" s="281" t="s">
        <v>301</v>
      </c>
      <c r="C133" s="282" t="s">
        <v>302</v>
      </c>
      <c r="D133" s="280">
        <f t="shared" si="1"/>
        <v>0</v>
      </c>
      <c r="E133" s="280">
        <v>0</v>
      </c>
      <c r="F133" s="280">
        <v>0</v>
      </c>
      <c r="G133" s="280">
        <f>'[20]Школа сахар. диабета(Пр.20-23)'!G133+'[20]Откл.Пр.3-24-Пр.20-23'!G133</f>
        <v>0</v>
      </c>
      <c r="I133" s="806"/>
      <c r="J133" s="806"/>
    </row>
    <row r="134" spans="1:10" x14ac:dyDescent="0.25">
      <c r="A134" s="279">
        <v>123</v>
      </c>
      <c r="B134" s="281" t="s">
        <v>16</v>
      </c>
      <c r="C134" s="282" t="s">
        <v>17</v>
      </c>
      <c r="D134" s="280">
        <f t="shared" si="1"/>
        <v>0</v>
      </c>
      <c r="E134" s="280">
        <v>0</v>
      </c>
      <c r="F134" s="280">
        <v>0</v>
      </c>
      <c r="G134" s="280">
        <f>'[20]Школа сахар. диабета(Пр.20-23)'!G134+'[20]Откл.Пр.3-24-Пр.20-23'!G134</f>
        <v>0</v>
      </c>
      <c r="I134" s="806"/>
      <c r="J134" s="806"/>
    </row>
    <row r="135" spans="1:10" x14ac:dyDescent="0.25">
      <c r="A135" s="279">
        <v>124</v>
      </c>
      <c r="B135" s="281" t="s">
        <v>68</v>
      </c>
      <c r="C135" s="282" t="s">
        <v>69</v>
      </c>
      <c r="D135" s="280">
        <f t="shared" si="1"/>
        <v>0</v>
      </c>
      <c r="E135" s="280">
        <v>0</v>
      </c>
      <c r="F135" s="280">
        <v>0</v>
      </c>
      <c r="G135" s="280">
        <f>'[20]Школа сахар. диабета(Пр.20-23)'!G135+'[20]Откл.Пр.3-24-Пр.20-23'!G135</f>
        <v>0</v>
      </c>
      <c r="I135" s="806"/>
      <c r="J135" s="806"/>
    </row>
    <row r="136" spans="1:10" x14ac:dyDescent="0.25">
      <c r="A136" s="279">
        <v>125</v>
      </c>
      <c r="B136" s="283" t="s">
        <v>60</v>
      </c>
      <c r="C136" s="284" t="s">
        <v>303</v>
      </c>
      <c r="D136" s="280">
        <f t="shared" si="1"/>
        <v>943</v>
      </c>
      <c r="E136" s="280">
        <v>140</v>
      </c>
      <c r="F136" s="280">
        <v>803</v>
      </c>
      <c r="G136" s="280">
        <f>'[20]Школа сахар. диабета(Пр.20-23)'!G136+'[20]Откл.Пр.3-24-Пр.20-23'!G136</f>
        <v>0</v>
      </c>
      <c r="I136" s="806"/>
      <c r="J136" s="806"/>
    </row>
    <row r="137" spans="1:10" x14ac:dyDescent="0.25">
      <c r="A137" s="279">
        <v>126</v>
      </c>
      <c r="B137" s="10" t="s">
        <v>56</v>
      </c>
      <c r="C137" s="284" t="s">
        <v>304</v>
      </c>
      <c r="D137" s="280">
        <f t="shared" si="1"/>
        <v>1723</v>
      </c>
      <c r="E137" s="280">
        <v>249</v>
      </c>
      <c r="F137" s="280">
        <v>1442</v>
      </c>
      <c r="G137" s="280">
        <f>'[20]Школа сахар. диабета(Пр.20-23)'!G137+'[20]Откл.Пр.3-24-Пр.20-23'!G137</f>
        <v>32</v>
      </c>
      <c r="I137" s="806"/>
      <c r="J137" s="806"/>
    </row>
    <row r="138" spans="1:10" x14ac:dyDescent="0.25">
      <c r="A138" s="279">
        <v>127</v>
      </c>
      <c r="B138" s="281" t="s">
        <v>305</v>
      </c>
      <c r="C138" s="282" t="s">
        <v>306</v>
      </c>
      <c r="D138" s="280">
        <f t="shared" ref="D138:D146" si="2">SUM(E138:G138)</f>
        <v>0</v>
      </c>
      <c r="E138" s="280">
        <v>0</v>
      </c>
      <c r="F138" s="280">
        <v>0</v>
      </c>
      <c r="G138" s="280">
        <f>'[20]Школа сахар. диабета(Пр.20-23)'!G138+'[20]Откл.Пр.3-24-Пр.20-23'!G138</f>
        <v>0</v>
      </c>
      <c r="I138" s="806"/>
      <c r="J138" s="806"/>
    </row>
    <row r="139" spans="1:10" x14ac:dyDescent="0.25">
      <c r="A139" s="279">
        <v>128</v>
      </c>
      <c r="B139" s="8" t="s">
        <v>307</v>
      </c>
      <c r="C139" s="9" t="s">
        <v>308</v>
      </c>
      <c r="D139" s="280">
        <f t="shared" si="2"/>
        <v>0</v>
      </c>
      <c r="E139" s="280">
        <v>0</v>
      </c>
      <c r="F139" s="280">
        <v>0</v>
      </c>
      <c r="G139" s="280">
        <f>'[20]Школа сахар. диабета(Пр.20-23)'!G139+'[20]Откл.Пр.3-24-Пр.20-23'!G139</f>
        <v>0</v>
      </c>
      <c r="I139" s="806"/>
      <c r="J139" s="806"/>
    </row>
    <row r="140" spans="1:10" x14ac:dyDescent="0.25">
      <c r="A140" s="279">
        <v>129</v>
      </c>
      <c r="B140" s="281" t="s">
        <v>309</v>
      </c>
      <c r="C140" s="282" t="s">
        <v>310</v>
      </c>
      <c r="D140" s="280">
        <f t="shared" si="2"/>
        <v>0</v>
      </c>
      <c r="E140" s="280">
        <v>0</v>
      </c>
      <c r="F140" s="280">
        <v>0</v>
      </c>
      <c r="G140" s="280">
        <f>'[20]Школа сахар. диабета(Пр.20-23)'!G140+'[20]Откл.Пр.3-24-Пр.20-23'!G140</f>
        <v>0</v>
      </c>
      <c r="I140" s="806"/>
      <c r="J140" s="806"/>
    </row>
    <row r="141" spans="1:10" x14ac:dyDescent="0.25">
      <c r="A141" s="279">
        <v>130</v>
      </c>
      <c r="B141" s="293" t="s">
        <v>311</v>
      </c>
      <c r="C141" s="294" t="s">
        <v>312</v>
      </c>
      <c r="D141" s="280">
        <f t="shared" si="2"/>
        <v>0</v>
      </c>
      <c r="E141" s="280">
        <v>0</v>
      </c>
      <c r="F141" s="280">
        <v>0</v>
      </c>
      <c r="G141" s="280">
        <f>'[20]Школа сахар. диабета(Пр.20-23)'!G141+'[20]Откл.Пр.3-24-Пр.20-23'!G141</f>
        <v>0</v>
      </c>
      <c r="I141" s="806"/>
      <c r="J141" s="806"/>
    </row>
    <row r="142" spans="1:10" x14ac:dyDescent="0.25">
      <c r="A142" s="279">
        <v>131</v>
      </c>
      <c r="B142" s="295" t="s">
        <v>313</v>
      </c>
      <c r="C142" s="296" t="s">
        <v>314</v>
      </c>
      <c r="D142" s="280">
        <f t="shared" si="2"/>
        <v>0</v>
      </c>
      <c r="E142" s="280">
        <v>0</v>
      </c>
      <c r="F142" s="280">
        <v>0</v>
      </c>
      <c r="G142" s="280">
        <f>'[20]Школа сахар. диабета(Пр.20-23)'!G142+'[20]Откл.Пр.3-24-Пр.20-23'!G142</f>
        <v>0</v>
      </c>
      <c r="I142" s="806"/>
      <c r="J142" s="806"/>
    </row>
    <row r="143" spans="1:10" x14ac:dyDescent="0.25">
      <c r="A143" s="279">
        <v>132</v>
      </c>
      <c r="B143" s="297" t="s">
        <v>315</v>
      </c>
      <c r="C143" s="298" t="s">
        <v>316</v>
      </c>
      <c r="D143" s="280">
        <f t="shared" si="2"/>
        <v>0</v>
      </c>
      <c r="E143" s="280">
        <v>0</v>
      </c>
      <c r="F143" s="280">
        <v>0</v>
      </c>
      <c r="G143" s="280">
        <f>'[20]Школа сахар. диабета(Пр.20-23)'!G143+'[20]Откл.Пр.3-24-Пр.20-23'!G143</f>
        <v>0</v>
      </c>
      <c r="I143" s="806"/>
      <c r="J143" s="806"/>
    </row>
    <row r="144" spans="1:10" x14ac:dyDescent="0.25">
      <c r="A144" s="279">
        <v>133</v>
      </c>
      <c r="B144" s="279" t="s">
        <v>317</v>
      </c>
      <c r="C144" s="299" t="s">
        <v>318</v>
      </c>
      <c r="D144" s="280">
        <f t="shared" si="2"/>
        <v>0</v>
      </c>
      <c r="E144" s="280">
        <v>0</v>
      </c>
      <c r="F144" s="280">
        <v>0</v>
      </c>
      <c r="G144" s="280">
        <f>'[20]Школа сахар. диабета(Пр.20-23)'!G144+'[20]Откл.Пр.3-24-Пр.20-23'!G144</f>
        <v>0</v>
      </c>
      <c r="I144" s="806"/>
      <c r="J144" s="806"/>
    </row>
    <row r="145" spans="1:10" ht="12" customHeight="1" x14ac:dyDescent="0.25">
      <c r="A145" s="279">
        <v>134</v>
      </c>
      <c r="B145" s="300" t="s">
        <v>319</v>
      </c>
      <c r="C145" s="299" t="s">
        <v>320</v>
      </c>
      <c r="D145" s="301">
        <f t="shared" si="2"/>
        <v>0</v>
      </c>
      <c r="E145" s="301">
        <v>0</v>
      </c>
      <c r="F145" s="301">
        <v>0</v>
      </c>
      <c r="G145" s="301">
        <f>'[20]Школа сахар. диабета(Пр.20-23)'!G145+'[20]Откл.Пр.3-24-Пр.20-23'!G145</f>
        <v>0</v>
      </c>
      <c r="I145" s="806"/>
      <c r="J145" s="806"/>
    </row>
    <row r="146" spans="1:10" x14ac:dyDescent="0.25">
      <c r="A146" s="279">
        <v>135</v>
      </c>
      <c r="B146" s="807" t="s">
        <v>728</v>
      </c>
      <c r="C146" s="808" t="s">
        <v>729</v>
      </c>
      <c r="D146" s="301">
        <f t="shared" si="2"/>
        <v>0</v>
      </c>
      <c r="E146" s="301">
        <v>0</v>
      </c>
      <c r="F146" s="301">
        <v>0</v>
      </c>
      <c r="G146" s="301">
        <f>'[20]Школа сахар. диабета(Пр.20-23)'!G146+'[20]Откл.Пр.3-24-Пр.20-23'!G146</f>
        <v>0</v>
      </c>
      <c r="I146" s="806"/>
      <c r="J146" s="806"/>
    </row>
    <row r="148" spans="1:10" x14ac:dyDescent="0.25">
      <c r="C148" s="908" t="s">
        <v>783</v>
      </c>
      <c r="D148" s="909">
        <v>44721</v>
      </c>
      <c r="E148" s="909">
        <v>6937</v>
      </c>
      <c r="F148" s="909">
        <v>36211</v>
      </c>
      <c r="G148" s="909">
        <v>1573</v>
      </c>
    </row>
    <row r="149" spans="1:10" x14ac:dyDescent="0.25">
      <c r="C149" s="908" t="s">
        <v>784</v>
      </c>
      <c r="D149" s="909">
        <f>D7-D148</f>
        <v>0</v>
      </c>
      <c r="E149" s="909">
        <f>E7-E148</f>
        <v>-583</v>
      </c>
      <c r="F149" s="909">
        <f>F7-F148</f>
        <v>583</v>
      </c>
      <c r="G149" s="909">
        <f>G7-G148</f>
        <v>0</v>
      </c>
    </row>
  </sheetData>
  <mergeCells count="11">
    <mergeCell ref="A7:C7"/>
    <mergeCell ref="A8:C8"/>
    <mergeCell ref="A87:A90"/>
    <mergeCell ref="B87:B90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30"/>
  <sheetViews>
    <sheetView zoomScaleNormal="100" zoomScaleSheetLayoutView="90" workbookViewId="0">
      <selection activeCell="J34" sqref="J34"/>
    </sheetView>
  </sheetViews>
  <sheetFormatPr defaultRowHeight="12.75" x14ac:dyDescent="0.2"/>
  <cols>
    <col min="1" max="1" width="5.28515625" style="257" customWidth="1"/>
    <col min="2" max="2" width="10.42578125" style="258" customWidth="1"/>
    <col min="3" max="3" width="37.28515625" style="259" customWidth="1"/>
    <col min="4" max="4" width="10" style="259" customWidth="1"/>
    <col min="5" max="5" width="18.28515625" style="259" customWidth="1"/>
    <col min="6" max="6" width="13.85546875" style="259" customWidth="1"/>
    <col min="7" max="7" width="9.140625" style="259" customWidth="1"/>
    <col min="8" max="8" width="17.140625" style="259" customWidth="1"/>
    <col min="9" max="9" width="12.42578125" style="259" customWidth="1"/>
    <col min="10" max="10" width="9.5703125" style="259" customWidth="1"/>
    <col min="11" max="11" width="16.85546875" style="259" customWidth="1"/>
    <col min="12" max="12" width="13" style="259" customWidth="1"/>
    <col min="13" max="16384" width="9.140625" style="259"/>
  </cols>
  <sheetData>
    <row r="1" spans="1:13" ht="18.75" x14ac:dyDescent="0.3">
      <c r="C1" s="1135" t="s">
        <v>398</v>
      </c>
      <c r="D1" s="1135"/>
      <c r="E1" s="1135"/>
      <c r="F1" s="1135"/>
      <c r="G1" s="1135"/>
      <c r="H1" s="1135"/>
      <c r="I1" s="1135"/>
      <c r="J1" s="1135"/>
      <c r="K1" s="1135"/>
      <c r="L1" s="1135"/>
    </row>
    <row r="3" spans="1:13" x14ac:dyDescent="0.2">
      <c r="A3" s="1136" t="s">
        <v>0</v>
      </c>
      <c r="B3" s="1136" t="s">
        <v>356</v>
      </c>
      <c r="C3" s="1136" t="s">
        <v>93</v>
      </c>
      <c r="D3" s="1136" t="s">
        <v>399</v>
      </c>
      <c r="E3" s="1136" t="s">
        <v>400</v>
      </c>
      <c r="F3" s="1136"/>
      <c r="G3" s="1137" t="s">
        <v>352</v>
      </c>
      <c r="H3" s="1138"/>
      <c r="I3" s="1138"/>
      <c r="J3" s="1138"/>
      <c r="K3" s="1138"/>
      <c r="L3" s="1139"/>
    </row>
    <row r="4" spans="1:13" ht="12.75" customHeight="1" x14ac:dyDescent="0.2">
      <c r="A4" s="1136"/>
      <c r="B4" s="1136"/>
      <c r="C4" s="1136"/>
      <c r="D4" s="1136"/>
      <c r="E4" s="1136"/>
      <c r="F4" s="1136"/>
      <c r="G4" s="1140" t="s">
        <v>401</v>
      </c>
      <c r="H4" s="1141"/>
      <c r="I4" s="1142"/>
      <c r="J4" s="1140" t="s">
        <v>402</v>
      </c>
      <c r="K4" s="1141"/>
      <c r="L4" s="1142"/>
    </row>
    <row r="5" spans="1:13" ht="12.75" customHeight="1" x14ac:dyDescent="0.2">
      <c r="A5" s="1136"/>
      <c r="B5" s="1136"/>
      <c r="C5" s="1136"/>
      <c r="D5" s="1136"/>
      <c r="E5" s="1136" t="s">
        <v>403</v>
      </c>
      <c r="F5" s="1136" t="s">
        <v>404</v>
      </c>
      <c r="G5" s="1143" t="s">
        <v>405</v>
      </c>
      <c r="H5" s="1136" t="s">
        <v>403</v>
      </c>
      <c r="I5" s="1136" t="s">
        <v>404</v>
      </c>
      <c r="J5" s="1143" t="s">
        <v>405</v>
      </c>
      <c r="K5" s="1136" t="s">
        <v>403</v>
      </c>
      <c r="L5" s="1136" t="s">
        <v>404</v>
      </c>
    </row>
    <row r="6" spans="1:13" ht="39.75" customHeight="1" x14ac:dyDescent="0.2">
      <c r="A6" s="1136"/>
      <c r="B6" s="1136"/>
      <c r="C6" s="1136"/>
      <c r="D6" s="1136"/>
      <c r="E6" s="1136"/>
      <c r="F6" s="1136"/>
      <c r="G6" s="1144"/>
      <c r="H6" s="1136"/>
      <c r="I6" s="1136"/>
      <c r="J6" s="1144"/>
      <c r="K6" s="1136"/>
      <c r="L6" s="1136"/>
    </row>
    <row r="7" spans="1:13" s="263" customFormat="1" ht="11.25" x14ac:dyDescent="0.2">
      <c r="A7" s="260">
        <v>1</v>
      </c>
      <c r="B7" s="261">
        <v>2</v>
      </c>
      <c r="C7" s="262">
        <v>3</v>
      </c>
      <c r="D7" s="260">
        <v>4</v>
      </c>
      <c r="E7" s="260">
        <v>5</v>
      </c>
      <c r="F7" s="260">
        <v>6</v>
      </c>
      <c r="G7" s="260">
        <v>7</v>
      </c>
      <c r="H7" s="260">
        <v>8</v>
      </c>
      <c r="I7" s="260">
        <v>9</v>
      </c>
      <c r="J7" s="260">
        <v>10</v>
      </c>
      <c r="K7" s="260">
        <v>11</v>
      </c>
      <c r="L7" s="260">
        <v>12</v>
      </c>
    </row>
    <row r="8" spans="1:13" s="263" customFormat="1" ht="19.5" customHeight="1" x14ac:dyDescent="0.2">
      <c r="A8" s="1145" t="s">
        <v>392</v>
      </c>
      <c r="B8" s="1145"/>
      <c r="C8" s="1145"/>
      <c r="D8" s="264">
        <f>E8+F8</f>
        <v>233348</v>
      </c>
      <c r="E8" s="264">
        <f>SUM(E9:E28)</f>
        <v>186680</v>
      </c>
      <c r="F8" s="264">
        <f>SUM(F9:F28)</f>
        <v>46668</v>
      </c>
      <c r="G8" s="264">
        <f>H8+I8</f>
        <v>180274</v>
      </c>
      <c r="H8" s="264">
        <f>SUM(H9:H28)</f>
        <v>144220</v>
      </c>
      <c r="I8" s="264">
        <f>SUM(I9:I28)</f>
        <v>36054</v>
      </c>
      <c r="J8" s="264">
        <f>K8+L8</f>
        <v>53074</v>
      </c>
      <c r="K8" s="264">
        <f t="shared" ref="K8:L8" si="0">SUM(K9:K28)</f>
        <v>42460</v>
      </c>
      <c r="L8" s="264">
        <f t="shared" si="0"/>
        <v>10614</v>
      </c>
    </row>
    <row r="9" spans="1:13" x14ac:dyDescent="0.2">
      <c r="A9" s="265">
        <v>1</v>
      </c>
      <c r="B9" s="266" t="s">
        <v>30</v>
      </c>
      <c r="C9" s="267" t="s">
        <v>31</v>
      </c>
      <c r="D9" s="268">
        <f>E9+F9</f>
        <v>13903</v>
      </c>
      <c r="E9" s="268">
        <f>H9+K9</f>
        <v>11122</v>
      </c>
      <c r="F9" s="268">
        <f>I9+L9</f>
        <v>2781</v>
      </c>
      <c r="G9" s="268">
        <f>H9+I9</f>
        <v>10445</v>
      </c>
      <c r="H9" s="268">
        <f>VLOOKUP(B9,'[21]ЦЗ _дети+взр'!$A:$K,7,0)</f>
        <v>8356</v>
      </c>
      <c r="I9" s="268">
        <f>VLOOKUP(B9,'[21]ЦЗ _дети+взр'!$A:$K,8,0)</f>
        <v>2089</v>
      </c>
      <c r="J9" s="268">
        <f>K9+L9</f>
        <v>3458</v>
      </c>
      <c r="K9" s="268">
        <f>VLOOKUP(B9,'[21]ЦЗ _дети+взр'!$A:$K,10,0)</f>
        <v>2766</v>
      </c>
      <c r="L9" s="268">
        <f>VLOOKUP(B9,'[21]ЦЗ _дети+взр'!$A:$K,11,0)</f>
        <v>692</v>
      </c>
      <c r="M9" s="269"/>
    </row>
    <row r="10" spans="1:13" x14ac:dyDescent="0.2">
      <c r="A10" s="265">
        <v>2</v>
      </c>
      <c r="B10" s="266" t="s">
        <v>80</v>
      </c>
      <c r="C10" s="267" t="s">
        <v>81</v>
      </c>
      <c r="D10" s="268">
        <f t="shared" ref="D10:D27" si="1">E10+F10</f>
        <v>9006</v>
      </c>
      <c r="E10" s="268">
        <f t="shared" ref="E10:F27" si="2">H10+K10</f>
        <v>7205</v>
      </c>
      <c r="F10" s="268">
        <f t="shared" si="2"/>
        <v>1801</v>
      </c>
      <c r="G10" s="268">
        <f t="shared" ref="G10:G28" si="3">H10+I10</f>
        <v>7054</v>
      </c>
      <c r="H10" s="268">
        <f>VLOOKUP(B10,'[21]ЦЗ _дети+взр'!$A:$K,7,0)</f>
        <v>5643</v>
      </c>
      <c r="I10" s="268">
        <f>VLOOKUP(B10,'[21]ЦЗ _дети+взр'!$A:$K,8,0)</f>
        <v>1411</v>
      </c>
      <c r="J10" s="268">
        <f t="shared" ref="J10:J28" si="4">K10+L10</f>
        <v>1952</v>
      </c>
      <c r="K10" s="268">
        <f>VLOOKUP(B10,'[21]ЦЗ _дети+взр'!$A:$K,10,0)</f>
        <v>1562</v>
      </c>
      <c r="L10" s="268">
        <f>VLOOKUP(B10,'[21]ЦЗ _дети+взр'!$A:$K,11,0)</f>
        <v>390</v>
      </c>
      <c r="M10" s="269"/>
    </row>
    <row r="11" spans="1:13" x14ac:dyDescent="0.2">
      <c r="A11" s="265">
        <v>3</v>
      </c>
      <c r="B11" s="266" t="s">
        <v>157</v>
      </c>
      <c r="C11" s="267" t="s">
        <v>158</v>
      </c>
      <c r="D11" s="268">
        <f t="shared" si="1"/>
        <v>7702</v>
      </c>
      <c r="E11" s="268">
        <f t="shared" si="2"/>
        <v>6161</v>
      </c>
      <c r="F11" s="268">
        <f t="shared" si="2"/>
        <v>1541</v>
      </c>
      <c r="G11" s="268">
        <f t="shared" si="3"/>
        <v>6013</v>
      </c>
      <c r="H11" s="268">
        <f>VLOOKUP(B11,'[21]ЦЗ _дети+взр'!$A:$K,7,0)</f>
        <v>4810</v>
      </c>
      <c r="I11" s="268">
        <f>VLOOKUP(B11,'[21]ЦЗ _дети+взр'!$A:$K,8,0)</f>
        <v>1203</v>
      </c>
      <c r="J11" s="268">
        <f t="shared" si="4"/>
        <v>1689</v>
      </c>
      <c r="K11" s="268">
        <f>VLOOKUP(B11,'[21]ЦЗ _дети+взр'!$A:$K,10,0)</f>
        <v>1351</v>
      </c>
      <c r="L11" s="268">
        <f>VLOOKUP(B11,'[21]ЦЗ _дети+взр'!$A:$K,11,0)</f>
        <v>338</v>
      </c>
      <c r="M11" s="269"/>
    </row>
    <row r="12" spans="1:13" x14ac:dyDescent="0.2">
      <c r="A12" s="265">
        <v>4</v>
      </c>
      <c r="B12" s="266" t="s">
        <v>32</v>
      </c>
      <c r="C12" s="267" t="s">
        <v>33</v>
      </c>
      <c r="D12" s="268">
        <f t="shared" si="1"/>
        <v>6135</v>
      </c>
      <c r="E12" s="268">
        <f t="shared" si="2"/>
        <v>4908</v>
      </c>
      <c r="F12" s="268">
        <f t="shared" si="2"/>
        <v>1227</v>
      </c>
      <c r="G12" s="268">
        <f t="shared" si="3"/>
        <v>4665</v>
      </c>
      <c r="H12" s="268">
        <f>VLOOKUP(B12,'[21]ЦЗ _дети+взр'!$A:$K,7,0)</f>
        <v>3732</v>
      </c>
      <c r="I12" s="268">
        <f>VLOOKUP(B12,'[21]ЦЗ _дети+взр'!$A:$K,8,0)</f>
        <v>933</v>
      </c>
      <c r="J12" s="268">
        <f t="shared" si="4"/>
        <v>1470</v>
      </c>
      <c r="K12" s="268">
        <f>VLOOKUP(B12,'[21]ЦЗ _дети+взр'!$A:$K,10,0)</f>
        <v>1176</v>
      </c>
      <c r="L12" s="268">
        <f>VLOOKUP(B12,'[21]ЦЗ _дети+взр'!$A:$K,11,0)</f>
        <v>294</v>
      </c>
      <c r="M12" s="269"/>
    </row>
    <row r="13" spans="1:13" x14ac:dyDescent="0.2">
      <c r="A13" s="265">
        <v>5</v>
      </c>
      <c r="B13" s="266" t="s">
        <v>117</v>
      </c>
      <c r="C13" s="267" t="s">
        <v>118</v>
      </c>
      <c r="D13" s="268">
        <f t="shared" si="1"/>
        <v>15929</v>
      </c>
      <c r="E13" s="268">
        <f t="shared" si="2"/>
        <v>12744</v>
      </c>
      <c r="F13" s="268">
        <f t="shared" si="2"/>
        <v>3185</v>
      </c>
      <c r="G13" s="268">
        <f t="shared" si="3"/>
        <v>12272</v>
      </c>
      <c r="H13" s="268">
        <f>VLOOKUP(B13,'[21]ЦЗ _дети+взр'!$A:$K,7,0)</f>
        <v>9818</v>
      </c>
      <c r="I13" s="268">
        <f>VLOOKUP(B13,'[21]ЦЗ _дети+взр'!$A:$K,8,0)</f>
        <v>2454</v>
      </c>
      <c r="J13" s="268">
        <f t="shared" si="4"/>
        <v>3657</v>
      </c>
      <c r="K13" s="268">
        <f>VLOOKUP(B13,'[21]ЦЗ _дети+взр'!$A:$K,10,0)</f>
        <v>2926</v>
      </c>
      <c r="L13" s="268">
        <f>VLOOKUP(B13,'[21]ЦЗ _дети+взр'!$A:$K,11,0)</f>
        <v>731</v>
      </c>
      <c r="M13" s="269"/>
    </row>
    <row r="14" spans="1:13" x14ac:dyDescent="0.2">
      <c r="A14" s="265">
        <v>6</v>
      </c>
      <c r="B14" s="266" t="s">
        <v>141</v>
      </c>
      <c r="C14" s="267" t="s">
        <v>142</v>
      </c>
      <c r="D14" s="268">
        <f t="shared" si="1"/>
        <v>9013</v>
      </c>
      <c r="E14" s="268">
        <f t="shared" si="2"/>
        <v>7211</v>
      </c>
      <c r="F14" s="268">
        <f t="shared" si="2"/>
        <v>1802</v>
      </c>
      <c r="G14" s="268">
        <f t="shared" si="3"/>
        <v>6691</v>
      </c>
      <c r="H14" s="268">
        <f>VLOOKUP(B14,'[21]ЦЗ _дети+взр'!$A:$K,7,0)</f>
        <v>5353</v>
      </c>
      <c r="I14" s="268">
        <f>VLOOKUP(B14,'[21]ЦЗ _дети+взр'!$A:$K,8,0)</f>
        <v>1338</v>
      </c>
      <c r="J14" s="268">
        <f t="shared" si="4"/>
        <v>2322</v>
      </c>
      <c r="K14" s="268">
        <f>VLOOKUP(B14,'[21]ЦЗ _дети+взр'!$A:$K,10,0)</f>
        <v>1858</v>
      </c>
      <c r="L14" s="268">
        <f>VLOOKUP(B14,'[21]ЦЗ _дети+взр'!$A:$K,11,0)</f>
        <v>464</v>
      </c>
      <c r="M14" s="269"/>
    </row>
    <row r="15" spans="1:13" x14ac:dyDescent="0.2">
      <c r="A15" s="265">
        <v>7</v>
      </c>
      <c r="B15" s="266" t="s">
        <v>149</v>
      </c>
      <c r="C15" s="267" t="s">
        <v>406</v>
      </c>
      <c r="D15" s="268">
        <f t="shared" si="1"/>
        <v>20249</v>
      </c>
      <c r="E15" s="268">
        <f t="shared" si="2"/>
        <v>16199</v>
      </c>
      <c r="F15" s="268">
        <f t="shared" si="2"/>
        <v>4050</v>
      </c>
      <c r="G15" s="268">
        <f t="shared" si="3"/>
        <v>20249</v>
      </c>
      <c r="H15" s="268">
        <f>VLOOKUP(B15,'[21]ЦЗ _дети+взр'!$A:$K,7,0)</f>
        <v>16199</v>
      </c>
      <c r="I15" s="268">
        <f>VLOOKUP(B15,'[21]ЦЗ _дети+взр'!$A:$K,8,0)</f>
        <v>4050</v>
      </c>
      <c r="J15" s="268">
        <f t="shared" si="4"/>
        <v>0</v>
      </c>
      <c r="K15" s="268">
        <f>VLOOKUP(B15,'[21]ЦЗ _дети+взр'!$A:$K,10,0)</f>
        <v>0</v>
      </c>
      <c r="L15" s="268">
        <f>VLOOKUP(B15,'[21]ЦЗ _дети+взр'!$A:$K,11,0)</f>
        <v>0</v>
      </c>
      <c r="M15" s="269"/>
    </row>
    <row r="16" spans="1:13" x14ac:dyDescent="0.2">
      <c r="A16" s="265">
        <v>8</v>
      </c>
      <c r="B16" s="266" t="s">
        <v>171</v>
      </c>
      <c r="C16" s="267" t="s">
        <v>172</v>
      </c>
      <c r="D16" s="268">
        <f>E16+F16</f>
        <v>21611</v>
      </c>
      <c r="E16" s="268">
        <f t="shared" si="2"/>
        <v>17289</v>
      </c>
      <c r="F16" s="268">
        <f t="shared" si="2"/>
        <v>4322</v>
      </c>
      <c r="G16" s="268">
        <f t="shared" si="3"/>
        <v>19062</v>
      </c>
      <c r="H16" s="268">
        <f>VLOOKUP(B16,'[21]ЦЗ _дети+взр'!$A:$K,7,0)</f>
        <v>15250</v>
      </c>
      <c r="I16" s="268">
        <f>VLOOKUP(B16,'[21]ЦЗ _дети+взр'!$A:$K,8,0)</f>
        <v>3812</v>
      </c>
      <c r="J16" s="268">
        <f t="shared" si="4"/>
        <v>2549</v>
      </c>
      <c r="K16" s="268">
        <f>VLOOKUP(B16,'[21]ЦЗ _дети+взр'!$A:$K,10,0)</f>
        <v>2039</v>
      </c>
      <c r="L16" s="268">
        <f>VLOOKUP(B16,'[21]ЦЗ _дети+взр'!$A:$K,11,0)</f>
        <v>510</v>
      </c>
      <c r="M16" s="269"/>
    </row>
    <row r="17" spans="1:13" x14ac:dyDescent="0.2">
      <c r="A17" s="265">
        <v>9</v>
      </c>
      <c r="B17" s="266" t="s">
        <v>16</v>
      </c>
      <c r="C17" s="267" t="s">
        <v>17</v>
      </c>
      <c r="D17" s="268">
        <f t="shared" si="1"/>
        <v>9962</v>
      </c>
      <c r="E17" s="268">
        <f t="shared" si="2"/>
        <v>7969</v>
      </c>
      <c r="F17" s="268">
        <f t="shared" si="2"/>
        <v>1993</v>
      </c>
      <c r="G17" s="268">
        <f t="shared" si="3"/>
        <v>8619</v>
      </c>
      <c r="H17" s="268">
        <f>VLOOKUP(B17,'[21]ЦЗ _дети+взр'!$A:$K,7,0)</f>
        <v>6895</v>
      </c>
      <c r="I17" s="268">
        <f>VLOOKUP(B17,'[21]ЦЗ _дети+взр'!$A:$K,8,0)</f>
        <v>1724</v>
      </c>
      <c r="J17" s="268">
        <f t="shared" si="4"/>
        <v>1343</v>
      </c>
      <c r="K17" s="268">
        <f>VLOOKUP(B17,'[21]ЦЗ _дети+взр'!$A:$K,10,0)</f>
        <v>1074</v>
      </c>
      <c r="L17" s="268">
        <f>VLOOKUP(B17,'[21]ЦЗ _дети+взр'!$A:$K,11,0)</f>
        <v>269</v>
      </c>
      <c r="M17" s="269"/>
    </row>
    <row r="18" spans="1:13" x14ac:dyDescent="0.2">
      <c r="A18" s="265">
        <v>10</v>
      </c>
      <c r="B18" s="266" t="s">
        <v>151</v>
      </c>
      <c r="C18" s="267" t="s">
        <v>152</v>
      </c>
      <c r="D18" s="268">
        <f t="shared" si="1"/>
        <v>5982</v>
      </c>
      <c r="E18" s="268">
        <f t="shared" si="2"/>
        <v>4786</v>
      </c>
      <c r="F18" s="268">
        <f t="shared" si="2"/>
        <v>1196</v>
      </c>
      <c r="G18" s="268">
        <f t="shared" si="3"/>
        <v>0</v>
      </c>
      <c r="H18" s="268">
        <f>VLOOKUP(B18,'[21]ЦЗ _дети+взр'!$A:$K,7,0)</f>
        <v>0</v>
      </c>
      <c r="I18" s="268">
        <f>VLOOKUP(B18,'[21]ЦЗ _дети+взр'!$A:$K,8,0)</f>
        <v>0</v>
      </c>
      <c r="J18" s="268">
        <f t="shared" si="4"/>
        <v>5982</v>
      </c>
      <c r="K18" s="268">
        <f>VLOOKUP(B18,'[21]ЦЗ _дети+взр'!$A:$K,10,0)</f>
        <v>4786</v>
      </c>
      <c r="L18" s="268">
        <f>VLOOKUP(B18,'[21]ЦЗ _дети+взр'!$A:$K,11,0)</f>
        <v>1196</v>
      </c>
      <c r="M18" s="269"/>
    </row>
    <row r="19" spans="1:13" x14ac:dyDescent="0.2">
      <c r="A19" s="265">
        <v>11</v>
      </c>
      <c r="B19" s="266" t="s">
        <v>20</v>
      </c>
      <c r="C19" s="267" t="s">
        <v>21</v>
      </c>
      <c r="D19" s="268">
        <f t="shared" si="1"/>
        <v>8013</v>
      </c>
      <c r="E19" s="268">
        <f t="shared" si="2"/>
        <v>6411</v>
      </c>
      <c r="F19" s="268">
        <f t="shared" si="2"/>
        <v>1602</v>
      </c>
      <c r="G19" s="268">
        <f t="shared" si="3"/>
        <v>6287</v>
      </c>
      <c r="H19" s="268">
        <f>VLOOKUP(B19,'[21]ЦЗ _дети+взр'!$A:$K,7,0)</f>
        <v>5030</v>
      </c>
      <c r="I19" s="268">
        <f>VLOOKUP(B19,'[21]ЦЗ _дети+взр'!$A:$K,8,0)</f>
        <v>1257</v>
      </c>
      <c r="J19" s="268">
        <f t="shared" si="4"/>
        <v>1726</v>
      </c>
      <c r="K19" s="268">
        <f>VLOOKUP(B19,'[21]ЦЗ _дети+взр'!$A:$K,10,0)</f>
        <v>1381</v>
      </c>
      <c r="L19" s="268">
        <f>VLOOKUP(B19,'[21]ЦЗ _дети+взр'!$A:$K,11,0)</f>
        <v>345</v>
      </c>
      <c r="M19" s="269"/>
    </row>
    <row r="20" spans="1:13" x14ac:dyDescent="0.2">
      <c r="A20" s="265">
        <v>12</v>
      </c>
      <c r="B20" s="266" t="s">
        <v>58</v>
      </c>
      <c r="C20" s="267" t="s">
        <v>59</v>
      </c>
      <c r="D20" s="268">
        <f t="shared" si="1"/>
        <v>4844</v>
      </c>
      <c r="E20" s="268">
        <f t="shared" si="2"/>
        <v>3876</v>
      </c>
      <c r="F20" s="268">
        <f t="shared" si="2"/>
        <v>968</v>
      </c>
      <c r="G20" s="268">
        <f t="shared" si="3"/>
        <v>3762</v>
      </c>
      <c r="H20" s="268">
        <f>VLOOKUP(B20,'[21]ЦЗ _дети+взр'!$A:$K,7,0)</f>
        <v>3010</v>
      </c>
      <c r="I20" s="268">
        <f>VLOOKUP(B20,'[21]ЦЗ _дети+взр'!$A:$K,8,0)</f>
        <v>752</v>
      </c>
      <c r="J20" s="268">
        <f t="shared" si="4"/>
        <v>1082</v>
      </c>
      <c r="K20" s="268">
        <f>VLOOKUP(B20,'[21]ЦЗ _дети+взр'!$A:$K,10,0)</f>
        <v>866</v>
      </c>
      <c r="L20" s="268">
        <f>VLOOKUP(B20,'[21]ЦЗ _дети+взр'!$A:$K,11,0)</f>
        <v>216</v>
      </c>
      <c r="M20" s="269"/>
    </row>
    <row r="21" spans="1:13" x14ac:dyDescent="0.2">
      <c r="A21" s="265">
        <v>13</v>
      </c>
      <c r="B21" s="266" t="s">
        <v>46</v>
      </c>
      <c r="C21" s="267" t="s">
        <v>47</v>
      </c>
      <c r="D21" s="268">
        <f t="shared" si="1"/>
        <v>13690</v>
      </c>
      <c r="E21" s="268">
        <f t="shared" si="2"/>
        <v>10952</v>
      </c>
      <c r="F21" s="268">
        <f t="shared" si="2"/>
        <v>2738</v>
      </c>
      <c r="G21" s="268">
        <f t="shared" si="3"/>
        <v>10832</v>
      </c>
      <c r="H21" s="268">
        <f>VLOOKUP(B21,'[21]ЦЗ _дети+взр'!$A:$K,7,0)</f>
        <v>8666</v>
      </c>
      <c r="I21" s="268">
        <f>VLOOKUP(B21,'[21]ЦЗ _дети+взр'!$A:$K,8,0)</f>
        <v>2166</v>
      </c>
      <c r="J21" s="268">
        <f t="shared" si="4"/>
        <v>2858</v>
      </c>
      <c r="K21" s="268">
        <f>VLOOKUP(B21,'[21]ЦЗ _дети+взр'!$A:$K,10,0)</f>
        <v>2286</v>
      </c>
      <c r="L21" s="268">
        <f>VLOOKUP(B21,'[21]ЦЗ _дети+взр'!$A:$K,11,0)</f>
        <v>572</v>
      </c>
      <c r="M21" s="269"/>
    </row>
    <row r="22" spans="1:13" x14ac:dyDescent="0.2">
      <c r="A22" s="265">
        <v>14</v>
      </c>
      <c r="B22" s="266" t="s">
        <v>185</v>
      </c>
      <c r="C22" s="267" t="s">
        <v>186</v>
      </c>
      <c r="D22" s="268">
        <f t="shared" si="1"/>
        <v>2952</v>
      </c>
      <c r="E22" s="268">
        <f t="shared" si="2"/>
        <v>2362</v>
      </c>
      <c r="F22" s="268">
        <f t="shared" si="2"/>
        <v>590</v>
      </c>
      <c r="G22" s="268">
        <f t="shared" si="3"/>
        <v>0</v>
      </c>
      <c r="H22" s="268">
        <f>VLOOKUP(B22,'[21]ЦЗ _дети+взр'!$A:$K,7,0)</f>
        <v>0</v>
      </c>
      <c r="I22" s="268">
        <f>VLOOKUP(B22,'[21]ЦЗ _дети+взр'!$A:$K,8,0)</f>
        <v>0</v>
      </c>
      <c r="J22" s="268">
        <f t="shared" si="4"/>
        <v>2952</v>
      </c>
      <c r="K22" s="268">
        <f>VLOOKUP(B22,'[21]ЦЗ _дети+взр'!$A:$K,10,0)</f>
        <v>2362</v>
      </c>
      <c r="L22" s="268">
        <f>VLOOKUP(B22,'[21]ЦЗ _дети+взр'!$A:$K,11,0)</f>
        <v>590</v>
      </c>
      <c r="M22" s="269"/>
    </row>
    <row r="23" spans="1:13" x14ac:dyDescent="0.2">
      <c r="A23" s="265">
        <v>15</v>
      </c>
      <c r="B23" s="266" t="s">
        <v>26</v>
      </c>
      <c r="C23" s="267" t="s">
        <v>27</v>
      </c>
      <c r="D23" s="268">
        <f t="shared" si="1"/>
        <v>8948</v>
      </c>
      <c r="E23" s="268">
        <f>H23+K23</f>
        <v>7158</v>
      </c>
      <c r="F23" s="268">
        <f t="shared" si="2"/>
        <v>1790</v>
      </c>
      <c r="G23" s="268">
        <f t="shared" si="3"/>
        <v>0</v>
      </c>
      <c r="H23" s="268">
        <f>VLOOKUP(B23,'[21]ЦЗ _дети+взр'!$A:$K,7,0)</f>
        <v>0</v>
      </c>
      <c r="I23" s="268">
        <f>VLOOKUP(B23,'[21]ЦЗ _дети+взр'!$A:$K,8,0)</f>
        <v>0</v>
      </c>
      <c r="J23" s="268">
        <f t="shared" si="4"/>
        <v>8948</v>
      </c>
      <c r="K23" s="268">
        <f>VLOOKUP(B23,'[21]ЦЗ _дети+взр'!$A:$K,10,0)</f>
        <v>7158</v>
      </c>
      <c r="L23" s="268">
        <f>VLOOKUP(B23,'[21]ЦЗ _дети+взр'!$A:$K,11,0)</f>
        <v>1790</v>
      </c>
      <c r="M23" s="269"/>
    </row>
    <row r="24" spans="1:13" x14ac:dyDescent="0.2">
      <c r="A24" s="265">
        <v>16</v>
      </c>
      <c r="B24" s="266" t="s">
        <v>64</v>
      </c>
      <c r="C24" s="267" t="s">
        <v>201</v>
      </c>
      <c r="D24" s="268">
        <f t="shared" si="1"/>
        <v>10275</v>
      </c>
      <c r="E24" s="268">
        <f t="shared" si="2"/>
        <v>8220</v>
      </c>
      <c r="F24" s="268">
        <f t="shared" si="2"/>
        <v>2055</v>
      </c>
      <c r="G24" s="268">
        <f t="shared" si="3"/>
        <v>10275</v>
      </c>
      <c r="H24" s="268">
        <f>VLOOKUP(B24,'[21]ЦЗ _дети+взр'!$A:$K,7,0)</f>
        <v>8220</v>
      </c>
      <c r="I24" s="268">
        <f>VLOOKUP(B24,'[21]ЦЗ _дети+взр'!$A:$K,8,0)</f>
        <v>2055</v>
      </c>
      <c r="J24" s="268">
        <f t="shared" si="4"/>
        <v>0</v>
      </c>
      <c r="K24" s="268">
        <f>VLOOKUP(B24,'[21]ЦЗ _дети+взр'!$A:$K,10,0)</f>
        <v>0</v>
      </c>
      <c r="L24" s="268">
        <f>VLOOKUP(B24,'[21]ЦЗ _дети+взр'!$A:$K,11,0)</f>
        <v>0</v>
      </c>
      <c r="M24" s="269"/>
    </row>
    <row r="25" spans="1:13" x14ac:dyDescent="0.2">
      <c r="A25" s="265">
        <v>17</v>
      </c>
      <c r="B25" s="266" t="s">
        <v>217</v>
      </c>
      <c r="C25" s="267" t="s">
        <v>407</v>
      </c>
      <c r="D25" s="268">
        <f t="shared" si="1"/>
        <v>11037</v>
      </c>
      <c r="E25" s="268">
        <f t="shared" si="2"/>
        <v>8829</v>
      </c>
      <c r="F25" s="268">
        <f t="shared" si="2"/>
        <v>2208</v>
      </c>
      <c r="G25" s="268">
        <f t="shared" si="3"/>
        <v>8923</v>
      </c>
      <c r="H25" s="268">
        <f>VLOOKUP(B25,'[21]ЦЗ _дети+взр'!$A:$K,7,0)</f>
        <v>7138</v>
      </c>
      <c r="I25" s="268">
        <f>VLOOKUP(B25,'[21]ЦЗ _дети+взр'!$A:$K,8,0)</f>
        <v>1785</v>
      </c>
      <c r="J25" s="268">
        <f t="shared" si="4"/>
        <v>2114</v>
      </c>
      <c r="K25" s="268">
        <f>VLOOKUP(B25,'[21]ЦЗ _дети+взр'!$A:$K,10,0)</f>
        <v>1691</v>
      </c>
      <c r="L25" s="268">
        <f>VLOOKUP(B25,'[21]ЦЗ _дети+взр'!$A:$K,11,0)</f>
        <v>423</v>
      </c>
      <c r="M25" s="269"/>
    </row>
    <row r="26" spans="1:13" x14ac:dyDescent="0.2">
      <c r="A26" s="265">
        <v>18</v>
      </c>
      <c r="B26" s="266" t="s">
        <v>52</v>
      </c>
      <c r="C26" s="267" t="s">
        <v>220</v>
      </c>
      <c r="D26" s="268">
        <f t="shared" si="1"/>
        <v>8820</v>
      </c>
      <c r="E26" s="268">
        <f t="shared" si="2"/>
        <v>7056</v>
      </c>
      <c r="F26" s="268">
        <f t="shared" si="2"/>
        <v>1764</v>
      </c>
      <c r="G26" s="268">
        <f t="shared" si="3"/>
        <v>6685</v>
      </c>
      <c r="H26" s="268">
        <f>VLOOKUP(B26,'[21]ЦЗ _дети+взр'!$A:$K,7,0)</f>
        <v>5348</v>
      </c>
      <c r="I26" s="268">
        <f>VLOOKUP(B26,'[21]ЦЗ _дети+взр'!$A:$K,8,0)</f>
        <v>1337</v>
      </c>
      <c r="J26" s="268">
        <f t="shared" si="4"/>
        <v>2135</v>
      </c>
      <c r="K26" s="268">
        <f>VLOOKUP(B26,'[21]ЦЗ _дети+взр'!$A:$K,10,0)</f>
        <v>1708</v>
      </c>
      <c r="L26" s="268">
        <f>VLOOKUP(B26,'[21]ЦЗ _дети+взр'!$A:$K,11,0)</f>
        <v>427</v>
      </c>
      <c r="M26" s="269"/>
    </row>
    <row r="27" spans="1:13" x14ac:dyDescent="0.2">
      <c r="A27" s="265">
        <v>19</v>
      </c>
      <c r="B27" s="266" t="s">
        <v>36</v>
      </c>
      <c r="C27" s="267" t="s">
        <v>37</v>
      </c>
      <c r="D27" s="268">
        <f t="shared" si="1"/>
        <v>6837</v>
      </c>
      <c r="E27" s="268">
        <f t="shared" si="2"/>
        <v>5470</v>
      </c>
      <c r="F27" s="268">
        <f t="shared" si="2"/>
        <v>1367</v>
      </c>
      <c r="G27" s="268">
        <f t="shared" si="3"/>
        <v>0</v>
      </c>
      <c r="H27" s="268">
        <f>VLOOKUP(B27,'[21]ЦЗ _дети+взр'!$A:$K,7,0)</f>
        <v>0</v>
      </c>
      <c r="I27" s="268">
        <f>VLOOKUP(B27,'[21]ЦЗ _дети+взр'!$A:$K,8,0)</f>
        <v>0</v>
      </c>
      <c r="J27" s="268">
        <f t="shared" si="4"/>
        <v>6837</v>
      </c>
      <c r="K27" s="268">
        <f>VLOOKUP(B27,'[21]ЦЗ _дети+взр'!$A:$K,10,0)</f>
        <v>5470</v>
      </c>
      <c r="L27" s="268">
        <f>VLOOKUP(B27,'[21]ЦЗ _дети+взр'!$A:$K,11,0)</f>
        <v>1367</v>
      </c>
      <c r="M27" s="269"/>
    </row>
    <row r="28" spans="1:13" x14ac:dyDescent="0.2">
      <c r="A28" s="265">
        <v>20</v>
      </c>
      <c r="B28" s="266" t="s">
        <v>48</v>
      </c>
      <c r="C28" s="267" t="s">
        <v>408</v>
      </c>
      <c r="D28" s="268">
        <f>E28+F28</f>
        <v>38440</v>
      </c>
      <c r="E28" s="268">
        <f>H28+K28</f>
        <v>30752</v>
      </c>
      <c r="F28" s="268">
        <f>I28+L28</f>
        <v>7688</v>
      </c>
      <c r="G28" s="268">
        <f t="shared" si="3"/>
        <v>38440</v>
      </c>
      <c r="H28" s="268">
        <f>VLOOKUP(B28,'[21]ЦЗ _дети+взр'!$A:$K,7,0)</f>
        <v>30752</v>
      </c>
      <c r="I28" s="268">
        <f>VLOOKUP(B28,'[21]ЦЗ _дети+взр'!$A:$K,8,0)</f>
        <v>7688</v>
      </c>
      <c r="J28" s="268">
        <f t="shared" si="4"/>
        <v>0</v>
      </c>
      <c r="K28" s="268">
        <f>VLOOKUP(B28,'[21]ЦЗ _дети+взр'!$A:$K,10,0)</f>
        <v>0</v>
      </c>
      <c r="L28" s="268">
        <f>VLOOKUP(B28,'[21]ЦЗ _дети+взр'!$A:$K,11,0)</f>
        <v>0</v>
      </c>
      <c r="M28" s="269"/>
    </row>
    <row r="30" spans="1:13" x14ac:dyDescent="0.2">
      <c r="D30" s="269"/>
      <c r="E30" s="269"/>
      <c r="F30" s="269"/>
      <c r="G30" s="269"/>
      <c r="H30" s="269"/>
      <c r="I30" s="269"/>
      <c r="J30" s="269"/>
      <c r="K30" s="269"/>
      <c r="L30" s="269"/>
    </row>
  </sheetData>
  <mergeCells count="18">
    <mergeCell ref="A8:C8"/>
    <mergeCell ref="F5:F6"/>
    <mergeCell ref="G5:G6"/>
    <mergeCell ref="H5:H6"/>
    <mergeCell ref="I5:I6"/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4"/>
  <sheetViews>
    <sheetView zoomScaleNormal="100" workbookViewId="0">
      <selection activeCell="G22" sqref="G22"/>
    </sheetView>
  </sheetViews>
  <sheetFormatPr defaultRowHeight="15" x14ac:dyDescent="0.25"/>
  <cols>
    <col min="1" max="1" width="5.7109375" style="238" customWidth="1"/>
    <col min="2" max="2" width="10.7109375" style="238" customWidth="1"/>
    <col min="3" max="3" width="33.28515625" style="238" customWidth="1"/>
    <col min="4" max="4" width="50.42578125" style="238" customWidth="1"/>
    <col min="5" max="6" width="9.140625" style="238"/>
    <col min="7" max="7" width="11.140625" style="238" bestFit="1" customWidth="1"/>
    <col min="8" max="8" width="9.85546875" style="238" bestFit="1" customWidth="1"/>
    <col min="9" max="16384" width="9.140625" style="238"/>
  </cols>
  <sheetData>
    <row r="1" spans="1:11" ht="58.5" customHeight="1" x14ac:dyDescent="0.25">
      <c r="A1" s="1146" t="s">
        <v>393</v>
      </c>
      <c r="B1" s="1146"/>
      <c r="C1" s="1146"/>
      <c r="D1" s="1146"/>
    </row>
    <row r="2" spans="1:11" ht="12.75" customHeight="1" x14ac:dyDescent="0.25">
      <c r="A2" s="239"/>
      <c r="B2" s="239"/>
      <c r="C2" s="240"/>
      <c r="D2" s="241"/>
    </row>
    <row r="3" spans="1:11" ht="34.5" customHeight="1" x14ac:dyDescent="0.25">
      <c r="A3" s="1147" t="s">
        <v>0</v>
      </c>
      <c r="B3" s="1127" t="s">
        <v>356</v>
      </c>
      <c r="C3" s="1147" t="s">
        <v>2</v>
      </c>
      <c r="D3" s="242" t="s">
        <v>394</v>
      </c>
    </row>
    <row r="4" spans="1:11" ht="23.25" customHeight="1" x14ac:dyDescent="0.25">
      <c r="A4" s="1148"/>
      <c r="B4" s="1128"/>
      <c r="C4" s="1148"/>
      <c r="D4" s="243" t="s">
        <v>395</v>
      </c>
    </row>
    <row r="5" spans="1:11" ht="39" customHeight="1" x14ac:dyDescent="0.25">
      <c r="A5" s="1149"/>
      <c r="B5" s="1129"/>
      <c r="C5" s="1149"/>
      <c r="D5" s="243" t="s">
        <v>396</v>
      </c>
    </row>
    <row r="6" spans="1:11" s="245" customFormat="1" ht="12" x14ac:dyDescent="0.2">
      <c r="A6" s="244">
        <v>1</v>
      </c>
      <c r="B6" s="244">
        <v>2</v>
      </c>
      <c r="C6" s="244">
        <v>3</v>
      </c>
      <c r="D6" s="244">
        <v>4</v>
      </c>
    </row>
    <row r="7" spans="1:11" ht="15" customHeight="1" x14ac:dyDescent="0.25">
      <c r="A7" s="1150" t="s">
        <v>392</v>
      </c>
      <c r="B7" s="1151"/>
      <c r="C7" s="1152"/>
      <c r="D7" s="246">
        <f>SUM(D8:D12)</f>
        <v>211651</v>
      </c>
    </row>
    <row r="8" spans="1:11" x14ac:dyDescent="0.25">
      <c r="A8" s="247">
        <v>1</v>
      </c>
      <c r="B8" s="247" t="s">
        <v>109</v>
      </c>
      <c r="C8" s="248" t="s">
        <v>110</v>
      </c>
      <c r="D8" s="249">
        <v>2099</v>
      </c>
      <c r="F8" s="250"/>
      <c r="H8" s="251"/>
    </row>
    <row r="9" spans="1:11" s="251" customFormat="1" x14ac:dyDescent="0.25">
      <c r="A9" s="247">
        <v>2</v>
      </c>
      <c r="B9" s="247" t="s">
        <v>30</v>
      </c>
      <c r="C9" s="248" t="s">
        <v>31</v>
      </c>
      <c r="D9" s="249">
        <v>15142</v>
      </c>
      <c r="E9" s="238"/>
      <c r="F9" s="250"/>
      <c r="G9" s="238"/>
      <c r="I9" s="238"/>
      <c r="J9" s="238"/>
      <c r="K9" s="238"/>
    </row>
    <row r="10" spans="1:11" s="251" customFormat="1" ht="18.75" customHeight="1" x14ac:dyDescent="0.25">
      <c r="A10" s="247">
        <v>3</v>
      </c>
      <c r="B10" s="252" t="s">
        <v>149</v>
      </c>
      <c r="C10" s="253" t="s">
        <v>150</v>
      </c>
      <c r="D10" s="249">
        <v>47735</v>
      </c>
      <c r="E10" s="238"/>
      <c r="F10" s="250"/>
      <c r="G10" s="238"/>
      <c r="I10" s="238"/>
      <c r="J10" s="238"/>
      <c r="K10" s="238"/>
    </row>
    <row r="11" spans="1:11" s="251" customFormat="1" x14ac:dyDescent="0.25">
      <c r="A11" s="247">
        <v>4</v>
      </c>
      <c r="B11" s="247" t="s">
        <v>171</v>
      </c>
      <c r="C11" s="254" t="s">
        <v>397</v>
      </c>
      <c r="D11" s="249">
        <v>21443</v>
      </c>
      <c r="E11" s="238"/>
      <c r="F11" s="250"/>
      <c r="G11" s="238"/>
      <c r="I11" s="238"/>
      <c r="J11" s="238"/>
      <c r="K11" s="238"/>
    </row>
    <row r="12" spans="1:11" x14ac:dyDescent="0.25">
      <c r="A12" s="247">
        <v>5</v>
      </c>
      <c r="B12" s="247" t="s">
        <v>54</v>
      </c>
      <c r="C12" s="255" t="s">
        <v>222</v>
      </c>
      <c r="D12" s="249">
        <v>125232</v>
      </c>
      <c r="F12" s="250"/>
      <c r="H12" s="251"/>
    </row>
    <row r="14" spans="1:11" x14ac:dyDescent="0.25">
      <c r="B14" s="256"/>
    </row>
  </sheetData>
  <mergeCells count="5">
    <mergeCell ref="A1:D1"/>
    <mergeCell ref="A3:A5"/>
    <mergeCell ref="B3:B5"/>
    <mergeCell ref="C3:C5"/>
    <mergeCell ref="A7:C7"/>
  </mergeCells>
  <pageMargins left="0.70866141732283472" right="0.70866141732283472" top="0.74803149606299213" bottom="0.74803149606299213" header="0.31496062992125984" footer="0.31496062992125984"/>
  <pageSetup paperSize="9" scale="85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148"/>
  <sheetViews>
    <sheetView zoomScaleNormal="100" workbookViewId="0">
      <pane xSplit="3" ySplit="10" topLeftCell="D117" activePane="bottomRight" state="frozen"/>
      <selection pane="topRight" activeCell="D1" sqref="D1"/>
      <selection pane="bottomLeft" activeCell="A12" sqref="A12"/>
      <selection pane="bottomRight" activeCell="D137" sqref="D137:E138"/>
    </sheetView>
  </sheetViews>
  <sheetFormatPr defaultRowHeight="12" x14ac:dyDescent="0.2"/>
  <cols>
    <col min="1" max="1" width="5.85546875" style="809" customWidth="1"/>
    <col min="2" max="2" width="9.7109375" style="809" customWidth="1"/>
    <col min="3" max="3" width="39.85546875" style="809" customWidth="1"/>
    <col min="4" max="5" width="13.5703125" style="809" customWidth="1"/>
    <col min="6" max="6" width="17.42578125" style="809" customWidth="1"/>
    <col min="7" max="8" width="18.85546875" style="809" customWidth="1"/>
    <col min="9" max="10" width="15.28515625" style="809" customWidth="1"/>
    <col min="11" max="12" width="15.42578125" style="809" customWidth="1"/>
    <col min="13" max="13" width="17" style="809" customWidth="1"/>
    <col min="14" max="16384" width="9.140625" style="809"/>
  </cols>
  <sheetData>
    <row r="1" spans="1:15" ht="21.75" customHeight="1" x14ac:dyDescent="0.2">
      <c r="A1" s="1163" t="s">
        <v>355</v>
      </c>
      <c r="B1" s="1163"/>
      <c r="C1" s="1163"/>
      <c r="D1" s="1163"/>
      <c r="E1" s="1163"/>
      <c r="F1" s="1163"/>
      <c r="G1" s="1163"/>
      <c r="H1" s="1163"/>
      <c r="I1" s="1163"/>
      <c r="J1" s="1163"/>
      <c r="K1" s="1163"/>
      <c r="L1" s="1163"/>
      <c r="M1" s="848"/>
    </row>
    <row r="3" spans="1:15" ht="26.25" customHeight="1" x14ac:dyDescent="0.2">
      <c r="A3" s="1164" t="s">
        <v>0</v>
      </c>
      <c r="B3" s="1167" t="s">
        <v>356</v>
      </c>
      <c r="C3" s="1164" t="s">
        <v>2</v>
      </c>
      <c r="D3" s="1170" t="s">
        <v>746</v>
      </c>
      <c r="E3" s="1170"/>
      <c r="F3" s="1170"/>
      <c r="G3" s="1170"/>
      <c r="H3" s="1170"/>
      <c r="I3" s="1170"/>
      <c r="J3" s="1170"/>
      <c r="K3" s="1170"/>
      <c r="L3" s="1170"/>
      <c r="M3" s="1170"/>
    </row>
    <row r="4" spans="1:15" ht="15" customHeight="1" x14ac:dyDescent="0.2">
      <c r="A4" s="1165"/>
      <c r="B4" s="1168"/>
      <c r="C4" s="1165"/>
      <c r="D4" s="1171" t="s">
        <v>331</v>
      </c>
      <c r="E4" s="849" t="s">
        <v>352</v>
      </c>
      <c r="F4" s="1174" t="s">
        <v>357</v>
      </c>
      <c r="G4" s="1174"/>
      <c r="H4" s="1174"/>
      <c r="I4" s="1174"/>
      <c r="J4" s="1174"/>
      <c r="K4" s="1174"/>
      <c r="L4" s="1174"/>
      <c r="M4" s="1174"/>
    </row>
    <row r="5" spans="1:15" s="810" customFormat="1" ht="20.25" customHeight="1" x14ac:dyDescent="0.25">
      <c r="A5" s="1165"/>
      <c r="B5" s="1168"/>
      <c r="C5" s="1165"/>
      <c r="D5" s="1172"/>
      <c r="E5" s="1171" t="s">
        <v>747</v>
      </c>
      <c r="F5" s="1170" t="s">
        <v>748</v>
      </c>
      <c r="G5" s="1170"/>
      <c r="H5" s="1175" t="s">
        <v>358</v>
      </c>
      <c r="I5" s="1176"/>
      <c r="J5" s="1175" t="s">
        <v>359</v>
      </c>
      <c r="K5" s="1176"/>
      <c r="L5" s="1175" t="s">
        <v>749</v>
      </c>
      <c r="M5" s="1176"/>
    </row>
    <row r="6" spans="1:15" s="810" customFormat="1" ht="48.75" customHeight="1" x14ac:dyDescent="0.25">
      <c r="A6" s="1166"/>
      <c r="B6" s="1169"/>
      <c r="C6" s="1166"/>
      <c r="D6" s="1173"/>
      <c r="E6" s="1173"/>
      <c r="F6" s="849" t="s">
        <v>750</v>
      </c>
      <c r="G6" s="849" t="s">
        <v>747</v>
      </c>
      <c r="H6" s="849" t="s">
        <v>750</v>
      </c>
      <c r="I6" s="849" t="s">
        <v>747</v>
      </c>
      <c r="J6" s="849" t="s">
        <v>750</v>
      </c>
      <c r="K6" s="849" t="s">
        <v>747</v>
      </c>
      <c r="L6" s="849" t="s">
        <v>750</v>
      </c>
      <c r="M6" s="849" t="s">
        <v>747</v>
      </c>
    </row>
    <row r="7" spans="1:15" s="814" customFormat="1" ht="11.25" x14ac:dyDescent="0.2">
      <c r="A7" s="811">
        <v>1</v>
      </c>
      <c r="B7" s="811">
        <v>2</v>
      </c>
      <c r="C7" s="811">
        <v>3</v>
      </c>
      <c r="D7" s="812">
        <v>4</v>
      </c>
      <c r="E7" s="811">
        <v>5</v>
      </c>
      <c r="F7" s="813">
        <v>6</v>
      </c>
      <c r="G7" s="811">
        <v>7</v>
      </c>
      <c r="H7" s="813">
        <v>8</v>
      </c>
      <c r="I7" s="811">
        <v>9</v>
      </c>
      <c r="J7" s="813">
        <v>10</v>
      </c>
      <c r="K7" s="811">
        <v>11</v>
      </c>
      <c r="L7" s="813">
        <v>12</v>
      </c>
      <c r="M7" s="812">
        <v>13</v>
      </c>
    </row>
    <row r="8" spans="1:15" s="816" customFormat="1" x14ac:dyDescent="0.2">
      <c r="A8" s="1153" t="s">
        <v>360</v>
      </c>
      <c r="B8" s="1153"/>
      <c r="C8" s="1153"/>
      <c r="D8" s="815">
        <f>D9+D10</f>
        <v>1017926</v>
      </c>
      <c r="E8" s="815">
        <f>E9+E10</f>
        <v>3719</v>
      </c>
      <c r="F8" s="815">
        <f>F9+F10</f>
        <v>175202</v>
      </c>
      <c r="G8" s="815">
        <f t="shared" ref="G8" si="0">G9+G10</f>
        <v>3</v>
      </c>
      <c r="H8" s="815">
        <f>H9+H10</f>
        <v>232567</v>
      </c>
      <c r="I8" s="815">
        <f t="shared" ref="I8:M8" si="1">I9+I10</f>
        <v>3</v>
      </c>
      <c r="J8" s="815">
        <f t="shared" si="1"/>
        <v>486859</v>
      </c>
      <c r="K8" s="815">
        <f t="shared" si="1"/>
        <v>99</v>
      </c>
      <c r="L8" s="815">
        <f t="shared" si="1"/>
        <v>119579</v>
      </c>
      <c r="M8" s="815">
        <f t="shared" si="1"/>
        <v>3614</v>
      </c>
      <c r="O8" s="853"/>
    </row>
    <row r="9" spans="1:15" x14ac:dyDescent="0.2">
      <c r="A9" s="1154" t="s">
        <v>361</v>
      </c>
      <c r="B9" s="1155"/>
      <c r="C9" s="1156"/>
      <c r="D9" s="817">
        <f>SUM(F9:M9)</f>
        <v>0</v>
      </c>
      <c r="E9" s="817">
        <f t="shared" ref="E9:E72" si="2">G9+I9+K9+M9</f>
        <v>0</v>
      </c>
      <c r="F9" s="817"/>
      <c r="G9" s="817">
        <v>0</v>
      </c>
      <c r="H9" s="817"/>
      <c r="I9" s="817">
        <v>0</v>
      </c>
      <c r="J9" s="817"/>
      <c r="K9" s="817">
        <v>0</v>
      </c>
      <c r="L9" s="817"/>
      <c r="M9" s="817">
        <v>0</v>
      </c>
      <c r="O9" s="853"/>
    </row>
    <row r="10" spans="1:15" s="816" customFormat="1" x14ac:dyDescent="0.2">
      <c r="A10" s="1154" t="s">
        <v>108</v>
      </c>
      <c r="B10" s="1155"/>
      <c r="C10" s="1156"/>
      <c r="D10" s="815">
        <f t="shared" ref="D10:D73" si="3">SUM(F10:M10)</f>
        <v>1017926</v>
      </c>
      <c r="E10" s="815">
        <f t="shared" si="2"/>
        <v>3719</v>
      </c>
      <c r="F10" s="815">
        <f t="shared" ref="F10:M10" si="4">SUM(F11:F148)-F89</f>
        <v>175202</v>
      </c>
      <c r="G10" s="815">
        <f t="shared" si="4"/>
        <v>3</v>
      </c>
      <c r="H10" s="815">
        <f t="shared" si="4"/>
        <v>232567</v>
      </c>
      <c r="I10" s="815">
        <f t="shared" si="4"/>
        <v>3</v>
      </c>
      <c r="J10" s="815">
        <f t="shared" si="4"/>
        <v>486859</v>
      </c>
      <c r="K10" s="815">
        <f t="shared" si="4"/>
        <v>99</v>
      </c>
      <c r="L10" s="815">
        <f t="shared" si="4"/>
        <v>119579</v>
      </c>
      <c r="M10" s="815">
        <f t="shared" si="4"/>
        <v>3614</v>
      </c>
      <c r="O10" s="853"/>
    </row>
    <row r="11" spans="1:15" x14ac:dyDescent="0.2">
      <c r="A11" s="181">
        <v>1</v>
      </c>
      <c r="B11" s="182" t="s">
        <v>109</v>
      </c>
      <c r="C11" s="183" t="s">
        <v>110</v>
      </c>
      <c r="D11" s="817">
        <f t="shared" si="3"/>
        <v>6825</v>
      </c>
      <c r="E11" s="817">
        <f t="shared" si="2"/>
        <v>0</v>
      </c>
      <c r="F11" s="817">
        <v>661</v>
      </c>
      <c r="G11" s="817"/>
      <c r="H11" s="817">
        <v>1352</v>
      </c>
      <c r="I11" s="817"/>
      <c r="J11" s="817">
        <v>3322</v>
      </c>
      <c r="K11" s="817"/>
      <c r="L11" s="817">
        <v>1490</v>
      </c>
      <c r="M11" s="817"/>
      <c r="O11" s="853"/>
    </row>
    <row r="12" spans="1:15" x14ac:dyDescent="0.2">
      <c r="A12" s="181">
        <v>2</v>
      </c>
      <c r="B12" s="184" t="s">
        <v>111</v>
      </c>
      <c r="C12" s="183" t="s">
        <v>112</v>
      </c>
      <c r="D12" s="817">
        <f t="shared" si="3"/>
        <v>4839</v>
      </c>
      <c r="E12" s="817">
        <f t="shared" si="2"/>
        <v>10</v>
      </c>
      <c r="F12" s="817">
        <v>799</v>
      </c>
      <c r="G12" s="817"/>
      <c r="H12" s="817">
        <v>1013</v>
      </c>
      <c r="I12" s="817"/>
      <c r="J12" s="817">
        <v>2295</v>
      </c>
      <c r="K12" s="817"/>
      <c r="L12" s="817">
        <v>722</v>
      </c>
      <c r="M12" s="817">
        <v>10</v>
      </c>
      <c r="O12" s="853"/>
    </row>
    <row r="13" spans="1:15" x14ac:dyDescent="0.2">
      <c r="A13" s="181">
        <v>3</v>
      </c>
      <c r="B13" s="185" t="s">
        <v>80</v>
      </c>
      <c r="C13" s="186" t="s">
        <v>81</v>
      </c>
      <c r="D13" s="817">
        <f t="shared" si="3"/>
        <v>16574</v>
      </c>
      <c r="E13" s="817">
        <f t="shared" si="2"/>
        <v>345</v>
      </c>
      <c r="F13" s="817">
        <v>2266</v>
      </c>
      <c r="G13" s="817">
        <v>1</v>
      </c>
      <c r="H13" s="817">
        <v>2960</v>
      </c>
      <c r="I13" s="817">
        <v>2</v>
      </c>
      <c r="J13" s="817">
        <v>6184</v>
      </c>
      <c r="K13" s="817">
        <f>28+5</f>
        <v>33</v>
      </c>
      <c r="L13" s="817">
        <v>4819</v>
      </c>
      <c r="M13" s="817">
        <f>289+20</f>
        <v>309</v>
      </c>
      <c r="O13" s="853"/>
    </row>
    <row r="14" spans="1:15" x14ac:dyDescent="0.2">
      <c r="A14" s="181">
        <v>4</v>
      </c>
      <c r="B14" s="182" t="s">
        <v>113</v>
      </c>
      <c r="C14" s="183" t="s">
        <v>114</v>
      </c>
      <c r="D14" s="817">
        <f t="shared" si="3"/>
        <v>6039</v>
      </c>
      <c r="E14" s="817">
        <f t="shared" si="2"/>
        <v>18</v>
      </c>
      <c r="F14" s="817">
        <v>1056</v>
      </c>
      <c r="G14" s="817"/>
      <c r="H14" s="817">
        <v>1674</v>
      </c>
      <c r="I14" s="817"/>
      <c r="J14" s="817">
        <v>2363</v>
      </c>
      <c r="K14" s="817"/>
      <c r="L14" s="817">
        <v>928</v>
      </c>
      <c r="M14" s="817">
        <v>18</v>
      </c>
      <c r="O14" s="853"/>
    </row>
    <row r="15" spans="1:15" x14ac:dyDescent="0.2">
      <c r="A15" s="181">
        <v>5</v>
      </c>
      <c r="B15" s="182" t="s">
        <v>115</v>
      </c>
      <c r="C15" s="183" t="s">
        <v>116</v>
      </c>
      <c r="D15" s="817">
        <f t="shared" si="3"/>
        <v>5670</v>
      </c>
      <c r="E15" s="817">
        <f t="shared" si="2"/>
        <v>10</v>
      </c>
      <c r="F15" s="817">
        <v>788</v>
      </c>
      <c r="G15" s="817"/>
      <c r="H15" s="817">
        <v>1090</v>
      </c>
      <c r="I15" s="817"/>
      <c r="J15" s="817">
        <v>2911</v>
      </c>
      <c r="K15" s="817"/>
      <c r="L15" s="817">
        <v>871</v>
      </c>
      <c r="M15" s="817">
        <v>10</v>
      </c>
      <c r="O15" s="853"/>
    </row>
    <row r="16" spans="1:15" x14ac:dyDescent="0.2">
      <c r="A16" s="181">
        <v>6</v>
      </c>
      <c r="B16" s="185" t="s">
        <v>117</v>
      </c>
      <c r="C16" s="186" t="s">
        <v>118</v>
      </c>
      <c r="D16" s="817">
        <f t="shared" si="3"/>
        <v>39345</v>
      </c>
      <c r="E16" s="817">
        <f t="shared" si="2"/>
        <v>60</v>
      </c>
      <c r="F16" s="817">
        <v>5941</v>
      </c>
      <c r="G16" s="817"/>
      <c r="H16" s="817">
        <v>8788</v>
      </c>
      <c r="I16" s="817"/>
      <c r="J16" s="817">
        <v>20331</v>
      </c>
      <c r="K16" s="817"/>
      <c r="L16" s="817">
        <v>4225</v>
      </c>
      <c r="M16" s="817">
        <v>60</v>
      </c>
      <c r="O16" s="853"/>
    </row>
    <row r="17" spans="1:15" x14ac:dyDescent="0.2">
      <c r="A17" s="181">
        <v>7</v>
      </c>
      <c r="B17" s="187" t="s">
        <v>20</v>
      </c>
      <c r="C17" s="188" t="s">
        <v>21</v>
      </c>
      <c r="D17" s="817">
        <f t="shared" si="3"/>
        <v>15743</v>
      </c>
      <c r="E17" s="817">
        <f t="shared" si="2"/>
        <v>19</v>
      </c>
      <c r="F17" s="817">
        <v>2203</v>
      </c>
      <c r="G17" s="817"/>
      <c r="H17" s="817">
        <v>3299</v>
      </c>
      <c r="I17" s="817"/>
      <c r="J17" s="817">
        <v>8031</v>
      </c>
      <c r="K17" s="817"/>
      <c r="L17" s="817">
        <v>2191</v>
      </c>
      <c r="M17" s="817">
        <f>15+4</f>
        <v>19</v>
      </c>
      <c r="O17" s="853"/>
    </row>
    <row r="18" spans="1:15" x14ac:dyDescent="0.2">
      <c r="A18" s="181">
        <v>8</v>
      </c>
      <c r="B18" s="185" t="s">
        <v>119</v>
      </c>
      <c r="C18" s="186" t="s">
        <v>120</v>
      </c>
      <c r="D18" s="817">
        <f t="shared" si="3"/>
        <v>6010</v>
      </c>
      <c r="E18" s="817">
        <f t="shared" si="2"/>
        <v>61</v>
      </c>
      <c r="F18" s="817">
        <v>1046</v>
      </c>
      <c r="G18" s="817"/>
      <c r="H18" s="817">
        <v>1513</v>
      </c>
      <c r="I18" s="817"/>
      <c r="J18" s="817">
        <v>2351</v>
      </c>
      <c r="K18" s="817"/>
      <c r="L18" s="817">
        <v>1039</v>
      </c>
      <c r="M18" s="817">
        <v>61</v>
      </c>
      <c r="O18" s="853"/>
    </row>
    <row r="19" spans="1:15" x14ac:dyDescent="0.2">
      <c r="A19" s="181">
        <v>9</v>
      </c>
      <c r="B19" s="185" t="s">
        <v>121</v>
      </c>
      <c r="C19" s="186" t="s">
        <v>122</v>
      </c>
      <c r="D19" s="817">
        <f t="shared" si="3"/>
        <v>6107</v>
      </c>
      <c r="E19" s="817">
        <f t="shared" si="2"/>
        <v>0</v>
      </c>
      <c r="F19" s="817">
        <v>823</v>
      </c>
      <c r="G19" s="817"/>
      <c r="H19" s="817">
        <v>1216</v>
      </c>
      <c r="I19" s="817"/>
      <c r="J19" s="817">
        <v>3309</v>
      </c>
      <c r="K19" s="817"/>
      <c r="L19" s="817">
        <v>759</v>
      </c>
      <c r="M19" s="817"/>
      <c r="O19" s="853"/>
    </row>
    <row r="20" spans="1:15" x14ac:dyDescent="0.2">
      <c r="A20" s="181">
        <v>10</v>
      </c>
      <c r="B20" s="185" t="s">
        <v>123</v>
      </c>
      <c r="C20" s="186" t="s">
        <v>124</v>
      </c>
      <c r="D20" s="817">
        <f t="shared" si="3"/>
        <v>9009</v>
      </c>
      <c r="E20" s="817">
        <f t="shared" si="2"/>
        <v>0</v>
      </c>
      <c r="F20" s="817">
        <v>1267</v>
      </c>
      <c r="G20" s="817"/>
      <c r="H20" s="817">
        <v>1927</v>
      </c>
      <c r="I20" s="817"/>
      <c r="J20" s="817">
        <v>4597</v>
      </c>
      <c r="K20" s="817"/>
      <c r="L20" s="817">
        <v>1218</v>
      </c>
      <c r="M20" s="817"/>
      <c r="O20" s="853"/>
    </row>
    <row r="21" spans="1:15" x14ac:dyDescent="0.2">
      <c r="A21" s="181">
        <v>11</v>
      </c>
      <c r="B21" s="185" t="s">
        <v>125</v>
      </c>
      <c r="C21" s="186" t="s">
        <v>126</v>
      </c>
      <c r="D21" s="817">
        <f t="shared" si="3"/>
        <v>5731</v>
      </c>
      <c r="E21" s="817">
        <f t="shared" si="2"/>
        <v>0</v>
      </c>
      <c r="F21" s="817">
        <v>646</v>
      </c>
      <c r="G21" s="817"/>
      <c r="H21" s="817">
        <v>981</v>
      </c>
      <c r="I21" s="817"/>
      <c r="J21" s="817">
        <v>2959</v>
      </c>
      <c r="K21" s="817"/>
      <c r="L21" s="817">
        <v>1145</v>
      </c>
      <c r="M21" s="817"/>
      <c r="O21" s="853"/>
    </row>
    <row r="22" spans="1:15" x14ac:dyDescent="0.2">
      <c r="A22" s="181">
        <v>12</v>
      </c>
      <c r="B22" s="185" t="s">
        <v>127</v>
      </c>
      <c r="C22" s="186" t="s">
        <v>128</v>
      </c>
      <c r="D22" s="817">
        <f t="shared" si="3"/>
        <v>11276</v>
      </c>
      <c r="E22" s="817">
        <f t="shared" si="2"/>
        <v>100</v>
      </c>
      <c r="F22" s="817">
        <v>1651</v>
      </c>
      <c r="G22" s="817"/>
      <c r="H22" s="817">
        <v>2147</v>
      </c>
      <c r="I22" s="817"/>
      <c r="J22" s="817">
        <v>6208</v>
      </c>
      <c r="K22" s="817">
        <v>1</v>
      </c>
      <c r="L22" s="817">
        <v>1170</v>
      </c>
      <c r="M22" s="817">
        <v>99</v>
      </c>
      <c r="O22" s="853"/>
    </row>
    <row r="23" spans="1:15" x14ac:dyDescent="0.2">
      <c r="A23" s="181">
        <v>13</v>
      </c>
      <c r="B23" s="185" t="s">
        <v>129</v>
      </c>
      <c r="C23" s="186" t="s">
        <v>130</v>
      </c>
      <c r="D23" s="817">
        <f t="shared" si="3"/>
        <v>0</v>
      </c>
      <c r="E23" s="817">
        <f t="shared" si="2"/>
        <v>0</v>
      </c>
      <c r="F23" s="817">
        <v>0</v>
      </c>
      <c r="G23" s="817"/>
      <c r="H23" s="817">
        <v>0</v>
      </c>
      <c r="I23" s="817"/>
      <c r="J23" s="817">
        <v>0</v>
      </c>
      <c r="K23" s="817"/>
      <c r="L23" s="817">
        <v>0</v>
      </c>
      <c r="M23" s="817"/>
      <c r="O23" s="853"/>
    </row>
    <row r="24" spans="1:15" x14ac:dyDescent="0.2">
      <c r="A24" s="181">
        <v>14</v>
      </c>
      <c r="B24" s="185" t="s">
        <v>131</v>
      </c>
      <c r="C24" s="186" t="s">
        <v>132</v>
      </c>
      <c r="D24" s="817">
        <f t="shared" si="3"/>
        <v>5873</v>
      </c>
      <c r="E24" s="817">
        <f t="shared" si="2"/>
        <v>10</v>
      </c>
      <c r="F24" s="817">
        <v>688</v>
      </c>
      <c r="G24" s="817"/>
      <c r="H24" s="817">
        <v>1194</v>
      </c>
      <c r="I24" s="817"/>
      <c r="J24" s="817">
        <v>2845</v>
      </c>
      <c r="K24" s="817"/>
      <c r="L24" s="817">
        <v>1136</v>
      </c>
      <c r="M24" s="817">
        <v>10</v>
      </c>
      <c r="O24" s="853"/>
    </row>
    <row r="25" spans="1:15" x14ac:dyDescent="0.2">
      <c r="A25" s="181">
        <v>15</v>
      </c>
      <c r="B25" s="185" t="s">
        <v>133</v>
      </c>
      <c r="C25" s="186" t="s">
        <v>134</v>
      </c>
      <c r="D25" s="817">
        <f t="shared" si="3"/>
        <v>5902</v>
      </c>
      <c r="E25" s="817">
        <f t="shared" si="2"/>
        <v>17</v>
      </c>
      <c r="F25" s="817">
        <v>852</v>
      </c>
      <c r="G25" s="817"/>
      <c r="H25" s="817">
        <v>1867</v>
      </c>
      <c r="I25" s="817"/>
      <c r="J25" s="817">
        <v>2939</v>
      </c>
      <c r="K25" s="817">
        <v>1</v>
      </c>
      <c r="L25" s="817">
        <v>227</v>
      </c>
      <c r="M25" s="817">
        <v>16</v>
      </c>
      <c r="O25" s="853"/>
    </row>
    <row r="26" spans="1:15" x14ac:dyDescent="0.2">
      <c r="A26" s="181">
        <v>16</v>
      </c>
      <c r="B26" s="185" t="s">
        <v>135</v>
      </c>
      <c r="C26" s="186" t="s">
        <v>136</v>
      </c>
      <c r="D26" s="817">
        <f t="shared" si="3"/>
        <v>9092</v>
      </c>
      <c r="E26" s="817">
        <f t="shared" si="2"/>
        <v>6</v>
      </c>
      <c r="F26" s="817">
        <v>1092</v>
      </c>
      <c r="G26" s="817"/>
      <c r="H26" s="817">
        <v>2778</v>
      </c>
      <c r="I26" s="817"/>
      <c r="J26" s="817">
        <v>4251</v>
      </c>
      <c r="K26" s="817"/>
      <c r="L26" s="817">
        <v>965</v>
      </c>
      <c r="M26" s="817">
        <v>6</v>
      </c>
      <c r="O26" s="853"/>
    </row>
    <row r="27" spans="1:15" x14ac:dyDescent="0.2">
      <c r="A27" s="181">
        <v>17</v>
      </c>
      <c r="B27" s="185" t="s">
        <v>30</v>
      </c>
      <c r="C27" s="186" t="s">
        <v>31</v>
      </c>
      <c r="D27" s="817">
        <f t="shared" si="3"/>
        <v>20307</v>
      </c>
      <c r="E27" s="817">
        <f t="shared" si="2"/>
        <v>400</v>
      </c>
      <c r="F27" s="817">
        <v>3842</v>
      </c>
      <c r="G27" s="817"/>
      <c r="H27" s="817">
        <v>3257</v>
      </c>
      <c r="I27" s="817"/>
      <c r="J27" s="817">
        <v>10567</v>
      </c>
      <c r="K27" s="817">
        <f>15+6+6</f>
        <v>27</v>
      </c>
      <c r="L27" s="817">
        <v>2241</v>
      </c>
      <c r="M27" s="817">
        <f>275+69+16+13</f>
        <v>373</v>
      </c>
      <c r="O27" s="853"/>
    </row>
    <row r="28" spans="1:15" x14ac:dyDescent="0.2">
      <c r="A28" s="181">
        <v>18</v>
      </c>
      <c r="B28" s="182" t="s">
        <v>137</v>
      </c>
      <c r="C28" s="183" t="s">
        <v>138</v>
      </c>
      <c r="D28" s="817">
        <f t="shared" si="3"/>
        <v>2687</v>
      </c>
      <c r="E28" s="817">
        <f t="shared" si="2"/>
        <v>0</v>
      </c>
      <c r="F28" s="817">
        <v>341</v>
      </c>
      <c r="G28" s="817"/>
      <c r="H28" s="817">
        <v>498</v>
      </c>
      <c r="I28" s="817"/>
      <c r="J28" s="817">
        <v>1351</v>
      </c>
      <c r="K28" s="817"/>
      <c r="L28" s="817">
        <v>497</v>
      </c>
      <c r="M28" s="817"/>
      <c r="O28" s="853"/>
    </row>
    <row r="29" spans="1:15" x14ac:dyDescent="0.2">
      <c r="A29" s="181">
        <v>19</v>
      </c>
      <c r="B29" s="182" t="s">
        <v>139</v>
      </c>
      <c r="C29" s="183" t="s">
        <v>140</v>
      </c>
      <c r="D29" s="817">
        <f t="shared" si="3"/>
        <v>3383</v>
      </c>
      <c r="E29" s="817">
        <f t="shared" si="2"/>
        <v>145</v>
      </c>
      <c r="F29" s="817">
        <v>374</v>
      </c>
      <c r="G29" s="817"/>
      <c r="H29" s="817">
        <v>579</v>
      </c>
      <c r="I29" s="817"/>
      <c r="J29" s="817">
        <v>1642</v>
      </c>
      <c r="K29" s="817"/>
      <c r="L29" s="817">
        <v>643</v>
      </c>
      <c r="M29" s="817">
        <v>145</v>
      </c>
      <c r="O29" s="853"/>
    </row>
    <row r="30" spans="1:15" x14ac:dyDescent="0.2">
      <c r="A30" s="181">
        <v>20</v>
      </c>
      <c r="B30" s="182" t="s">
        <v>84</v>
      </c>
      <c r="C30" s="183" t="s">
        <v>85</v>
      </c>
      <c r="D30" s="817">
        <f t="shared" si="3"/>
        <v>16191</v>
      </c>
      <c r="E30" s="817">
        <f t="shared" si="2"/>
        <v>50</v>
      </c>
      <c r="F30" s="817">
        <v>2449</v>
      </c>
      <c r="G30" s="817"/>
      <c r="H30" s="817">
        <v>3876</v>
      </c>
      <c r="I30" s="817"/>
      <c r="J30" s="817">
        <v>8797</v>
      </c>
      <c r="K30" s="817">
        <v>1</v>
      </c>
      <c r="L30" s="817">
        <v>1019</v>
      </c>
      <c r="M30" s="817">
        <f>24+25</f>
        <v>49</v>
      </c>
      <c r="O30" s="853"/>
    </row>
    <row r="31" spans="1:15" x14ac:dyDescent="0.2">
      <c r="A31" s="181">
        <v>21</v>
      </c>
      <c r="B31" s="182" t="s">
        <v>141</v>
      </c>
      <c r="C31" s="183" t="s">
        <v>142</v>
      </c>
      <c r="D31" s="817">
        <f t="shared" si="3"/>
        <v>14211</v>
      </c>
      <c r="E31" s="817">
        <f t="shared" si="2"/>
        <v>42</v>
      </c>
      <c r="F31" s="817">
        <v>1955</v>
      </c>
      <c r="G31" s="817"/>
      <c r="H31" s="817">
        <v>2964</v>
      </c>
      <c r="I31" s="817"/>
      <c r="J31" s="817">
        <v>6315</v>
      </c>
      <c r="K31" s="817"/>
      <c r="L31" s="817">
        <v>2935</v>
      </c>
      <c r="M31" s="817">
        <f>30+12</f>
        <v>42</v>
      </c>
      <c r="O31" s="853"/>
    </row>
    <row r="32" spans="1:15" x14ac:dyDescent="0.2">
      <c r="A32" s="181">
        <v>22</v>
      </c>
      <c r="B32" s="185" t="s">
        <v>143</v>
      </c>
      <c r="C32" s="186" t="s">
        <v>144</v>
      </c>
      <c r="D32" s="817">
        <f t="shared" si="3"/>
        <v>2802</v>
      </c>
      <c r="E32" s="817">
        <f t="shared" si="2"/>
        <v>0</v>
      </c>
      <c r="F32" s="817">
        <v>611</v>
      </c>
      <c r="G32" s="817"/>
      <c r="H32" s="817">
        <v>1048</v>
      </c>
      <c r="I32" s="817"/>
      <c r="J32" s="817">
        <v>953</v>
      </c>
      <c r="K32" s="817"/>
      <c r="L32" s="817">
        <v>190</v>
      </c>
      <c r="M32" s="817"/>
      <c r="O32" s="853"/>
    </row>
    <row r="33" spans="1:15" x14ac:dyDescent="0.2">
      <c r="A33" s="181">
        <v>23</v>
      </c>
      <c r="B33" s="185" t="s">
        <v>145</v>
      </c>
      <c r="C33" s="186" t="s">
        <v>146</v>
      </c>
      <c r="D33" s="817">
        <f t="shared" si="3"/>
        <v>0</v>
      </c>
      <c r="E33" s="817">
        <f t="shared" si="2"/>
        <v>0</v>
      </c>
      <c r="F33" s="817">
        <v>0</v>
      </c>
      <c r="G33" s="817"/>
      <c r="H33" s="817">
        <v>0</v>
      </c>
      <c r="I33" s="817"/>
      <c r="J33" s="817">
        <v>0</v>
      </c>
      <c r="K33" s="817"/>
      <c r="L33" s="817">
        <v>0</v>
      </c>
      <c r="M33" s="817"/>
      <c r="O33" s="853"/>
    </row>
    <row r="34" spans="1:15" x14ac:dyDescent="0.2">
      <c r="A34" s="181">
        <v>24</v>
      </c>
      <c r="B34" s="185" t="s">
        <v>147</v>
      </c>
      <c r="C34" s="186" t="s">
        <v>148</v>
      </c>
      <c r="D34" s="817">
        <f t="shared" si="3"/>
        <v>0</v>
      </c>
      <c r="E34" s="817">
        <f t="shared" si="2"/>
        <v>0</v>
      </c>
      <c r="F34" s="817">
        <v>0</v>
      </c>
      <c r="G34" s="817"/>
      <c r="H34" s="817">
        <v>0</v>
      </c>
      <c r="I34" s="817"/>
      <c r="J34" s="817">
        <v>0</v>
      </c>
      <c r="K34" s="817"/>
      <c r="L34" s="817">
        <v>0</v>
      </c>
      <c r="M34" s="817"/>
      <c r="O34" s="853"/>
    </row>
    <row r="35" spans="1:15" x14ac:dyDescent="0.2">
      <c r="A35" s="181">
        <v>25</v>
      </c>
      <c r="B35" s="182" t="s">
        <v>149</v>
      </c>
      <c r="C35" s="188" t="s">
        <v>150</v>
      </c>
      <c r="D35" s="817">
        <f t="shared" si="3"/>
        <v>84114</v>
      </c>
      <c r="E35" s="817">
        <f t="shared" si="2"/>
        <v>30</v>
      </c>
      <c r="F35" s="817">
        <v>21385</v>
      </c>
      <c r="G35" s="817"/>
      <c r="H35" s="817">
        <v>18827</v>
      </c>
      <c r="I35" s="817"/>
      <c r="J35" s="817">
        <f>39463-3</f>
        <v>39460</v>
      </c>
      <c r="K35" s="817"/>
      <c r="L35" s="817">
        <f>4641-229</f>
        <v>4412</v>
      </c>
      <c r="M35" s="817">
        <f>13+17</f>
        <v>30</v>
      </c>
      <c r="O35" s="853"/>
    </row>
    <row r="36" spans="1:15" x14ac:dyDescent="0.2">
      <c r="A36" s="181">
        <v>26</v>
      </c>
      <c r="B36" s="185" t="s">
        <v>151</v>
      </c>
      <c r="C36" s="186" t="s">
        <v>152</v>
      </c>
      <c r="D36" s="817">
        <f t="shared" si="3"/>
        <v>232</v>
      </c>
      <c r="E36" s="817">
        <f t="shared" si="2"/>
        <v>232</v>
      </c>
      <c r="F36" s="817">
        <v>0</v>
      </c>
      <c r="G36" s="817"/>
      <c r="H36" s="817">
        <v>0</v>
      </c>
      <c r="I36" s="817"/>
      <c r="J36" s="817"/>
      <c r="K36" s="817">
        <f>1+2</f>
        <v>3</v>
      </c>
      <c r="L36" s="817"/>
      <c r="M36" s="817">
        <f>39+80+23+87</f>
        <v>229</v>
      </c>
      <c r="O36" s="853"/>
    </row>
    <row r="37" spans="1:15" x14ac:dyDescent="0.2">
      <c r="A37" s="181">
        <v>27</v>
      </c>
      <c r="B37" s="184" t="s">
        <v>153</v>
      </c>
      <c r="C37" s="188" t="s">
        <v>154</v>
      </c>
      <c r="D37" s="817">
        <f t="shared" si="3"/>
        <v>0</v>
      </c>
      <c r="E37" s="817">
        <f t="shared" si="2"/>
        <v>0</v>
      </c>
      <c r="F37" s="817">
        <v>0</v>
      </c>
      <c r="G37" s="817"/>
      <c r="H37" s="817">
        <v>0</v>
      </c>
      <c r="I37" s="817"/>
      <c r="J37" s="817">
        <v>0</v>
      </c>
      <c r="K37" s="817"/>
      <c r="L37" s="817">
        <v>0</v>
      </c>
      <c r="M37" s="817"/>
      <c r="O37" s="853"/>
    </row>
    <row r="38" spans="1:15" x14ac:dyDescent="0.2">
      <c r="A38" s="181">
        <v>28</v>
      </c>
      <c r="B38" s="182" t="s">
        <v>155</v>
      </c>
      <c r="C38" s="183" t="s">
        <v>156</v>
      </c>
      <c r="D38" s="817">
        <f t="shared" si="3"/>
        <v>0</v>
      </c>
      <c r="E38" s="817">
        <f t="shared" si="2"/>
        <v>0</v>
      </c>
      <c r="F38" s="817">
        <v>0</v>
      </c>
      <c r="G38" s="817"/>
      <c r="H38" s="817">
        <v>0</v>
      </c>
      <c r="I38" s="817"/>
      <c r="J38" s="817">
        <v>0</v>
      </c>
      <c r="K38" s="817"/>
      <c r="L38" s="817">
        <v>0</v>
      </c>
      <c r="M38" s="817"/>
      <c r="O38" s="853"/>
    </row>
    <row r="39" spans="1:15" x14ac:dyDescent="0.2">
      <c r="A39" s="181">
        <v>29</v>
      </c>
      <c r="B39" s="184" t="s">
        <v>157</v>
      </c>
      <c r="C39" s="183" t="s">
        <v>158</v>
      </c>
      <c r="D39" s="817">
        <f t="shared" si="3"/>
        <v>15879</v>
      </c>
      <c r="E39" s="817">
        <f t="shared" si="2"/>
        <v>138</v>
      </c>
      <c r="F39" s="817">
        <v>3766</v>
      </c>
      <c r="G39" s="817"/>
      <c r="H39" s="817">
        <v>3819</v>
      </c>
      <c r="I39" s="817"/>
      <c r="J39" s="817">
        <v>7678</v>
      </c>
      <c r="K39" s="817">
        <v>12</v>
      </c>
      <c r="L39" s="817">
        <v>478</v>
      </c>
      <c r="M39" s="817">
        <f>42+34+20+30</f>
        <v>126</v>
      </c>
      <c r="O39" s="853"/>
    </row>
    <row r="40" spans="1:15" x14ac:dyDescent="0.2">
      <c r="A40" s="181">
        <v>30</v>
      </c>
      <c r="B40" s="187" t="s">
        <v>46</v>
      </c>
      <c r="C40" s="188" t="s">
        <v>47</v>
      </c>
      <c r="D40" s="817">
        <f t="shared" si="3"/>
        <v>30391</v>
      </c>
      <c r="E40" s="817">
        <f t="shared" si="2"/>
        <v>20</v>
      </c>
      <c r="F40" s="817">
        <v>5448</v>
      </c>
      <c r="G40" s="817"/>
      <c r="H40" s="817">
        <v>7501</v>
      </c>
      <c r="I40" s="817"/>
      <c r="J40" s="817">
        <v>14350</v>
      </c>
      <c r="K40" s="817"/>
      <c r="L40" s="817">
        <v>3072</v>
      </c>
      <c r="M40" s="817">
        <v>20</v>
      </c>
      <c r="O40" s="853"/>
    </row>
    <row r="41" spans="1:15" x14ac:dyDescent="0.2">
      <c r="A41" s="181">
        <v>31</v>
      </c>
      <c r="B41" s="184" t="s">
        <v>159</v>
      </c>
      <c r="C41" s="183" t="s">
        <v>160</v>
      </c>
      <c r="D41" s="817">
        <f t="shared" si="3"/>
        <v>4595</v>
      </c>
      <c r="E41" s="817">
        <f t="shared" si="2"/>
        <v>5</v>
      </c>
      <c r="F41" s="817">
        <v>667</v>
      </c>
      <c r="G41" s="817"/>
      <c r="H41" s="817">
        <v>1340</v>
      </c>
      <c r="I41" s="817"/>
      <c r="J41" s="817">
        <v>2224</v>
      </c>
      <c r="K41" s="817"/>
      <c r="L41" s="817">
        <v>359</v>
      </c>
      <c r="M41" s="817">
        <v>5</v>
      </c>
      <c r="O41" s="853"/>
    </row>
    <row r="42" spans="1:15" x14ac:dyDescent="0.2">
      <c r="A42" s="181">
        <v>32</v>
      </c>
      <c r="B42" s="185" t="s">
        <v>58</v>
      </c>
      <c r="C42" s="186" t="s">
        <v>59</v>
      </c>
      <c r="D42" s="817">
        <f t="shared" si="3"/>
        <v>22698</v>
      </c>
      <c r="E42" s="817">
        <f t="shared" si="2"/>
        <v>75</v>
      </c>
      <c r="F42" s="817">
        <v>3054</v>
      </c>
      <c r="G42" s="817"/>
      <c r="H42" s="817">
        <v>5185</v>
      </c>
      <c r="I42" s="817"/>
      <c r="J42" s="817">
        <v>10396</v>
      </c>
      <c r="K42" s="817"/>
      <c r="L42" s="817">
        <v>3988</v>
      </c>
      <c r="M42" s="817">
        <f>10+36+17+7+5</f>
        <v>75</v>
      </c>
      <c r="O42" s="853"/>
    </row>
    <row r="43" spans="1:15" x14ac:dyDescent="0.2">
      <c r="A43" s="181">
        <v>33</v>
      </c>
      <c r="B43" s="184" t="s">
        <v>161</v>
      </c>
      <c r="C43" s="183" t="s">
        <v>162</v>
      </c>
      <c r="D43" s="817">
        <f t="shared" si="3"/>
        <v>7052</v>
      </c>
      <c r="E43" s="817">
        <f t="shared" si="2"/>
        <v>65</v>
      </c>
      <c r="F43" s="817">
        <v>962</v>
      </c>
      <c r="G43" s="817"/>
      <c r="H43" s="817">
        <v>2083</v>
      </c>
      <c r="I43" s="817"/>
      <c r="J43" s="817">
        <v>3670</v>
      </c>
      <c r="K43" s="817">
        <v>1</v>
      </c>
      <c r="L43" s="817">
        <v>272</v>
      </c>
      <c r="M43" s="817">
        <f>49+15</f>
        <v>64</v>
      </c>
      <c r="O43" s="853"/>
    </row>
    <row r="44" spans="1:15" x14ac:dyDescent="0.2">
      <c r="A44" s="181">
        <v>34</v>
      </c>
      <c r="B44" s="182" t="s">
        <v>82</v>
      </c>
      <c r="C44" s="183" t="s">
        <v>83</v>
      </c>
      <c r="D44" s="817">
        <f t="shared" si="3"/>
        <v>23279</v>
      </c>
      <c r="E44" s="817">
        <f t="shared" si="2"/>
        <v>92</v>
      </c>
      <c r="F44" s="817">
        <v>3138</v>
      </c>
      <c r="G44" s="817"/>
      <c r="H44" s="817">
        <v>5343</v>
      </c>
      <c r="I44" s="817">
        <v>1</v>
      </c>
      <c r="J44" s="817">
        <v>12298</v>
      </c>
      <c r="K44" s="817"/>
      <c r="L44" s="817">
        <v>2408</v>
      </c>
      <c r="M44" s="817">
        <f>81+10</f>
        <v>91</v>
      </c>
      <c r="O44" s="853"/>
    </row>
    <row r="45" spans="1:15" x14ac:dyDescent="0.2">
      <c r="A45" s="181">
        <v>35</v>
      </c>
      <c r="B45" s="189" t="s">
        <v>163</v>
      </c>
      <c r="C45" s="190" t="s">
        <v>164</v>
      </c>
      <c r="D45" s="817">
        <f t="shared" si="3"/>
        <v>6683</v>
      </c>
      <c r="E45" s="817">
        <f t="shared" si="2"/>
        <v>28</v>
      </c>
      <c r="F45" s="817">
        <v>929</v>
      </c>
      <c r="G45" s="817"/>
      <c r="H45" s="817">
        <v>2149</v>
      </c>
      <c r="I45" s="817"/>
      <c r="J45" s="817">
        <v>3088</v>
      </c>
      <c r="K45" s="817"/>
      <c r="L45" s="817">
        <v>489</v>
      </c>
      <c r="M45" s="817">
        <f>18+10</f>
        <v>28</v>
      </c>
      <c r="O45" s="853"/>
    </row>
    <row r="46" spans="1:15" x14ac:dyDescent="0.2">
      <c r="A46" s="181">
        <v>36</v>
      </c>
      <c r="B46" s="182" t="s">
        <v>165</v>
      </c>
      <c r="C46" s="183" t="s">
        <v>166</v>
      </c>
      <c r="D46" s="817">
        <f t="shared" si="3"/>
        <v>5816</v>
      </c>
      <c r="E46" s="817">
        <f t="shared" si="2"/>
        <v>65</v>
      </c>
      <c r="F46" s="817">
        <v>774</v>
      </c>
      <c r="G46" s="817"/>
      <c r="H46" s="817">
        <v>1070</v>
      </c>
      <c r="I46" s="817"/>
      <c r="J46" s="817">
        <v>3065</v>
      </c>
      <c r="K46" s="817">
        <v>4</v>
      </c>
      <c r="L46" s="817">
        <v>842</v>
      </c>
      <c r="M46" s="817">
        <v>61</v>
      </c>
      <c r="O46" s="853"/>
    </row>
    <row r="47" spans="1:15" x14ac:dyDescent="0.2">
      <c r="A47" s="181">
        <v>37</v>
      </c>
      <c r="B47" s="187" t="s">
        <v>86</v>
      </c>
      <c r="C47" s="188" t="s">
        <v>87</v>
      </c>
      <c r="D47" s="817">
        <f t="shared" si="3"/>
        <v>9127</v>
      </c>
      <c r="E47" s="817">
        <f t="shared" si="2"/>
        <v>0</v>
      </c>
      <c r="F47" s="817">
        <v>1240</v>
      </c>
      <c r="G47" s="817"/>
      <c r="H47" s="817">
        <v>1531</v>
      </c>
      <c r="I47" s="817"/>
      <c r="J47" s="817">
        <v>4880</v>
      </c>
      <c r="K47" s="817"/>
      <c r="L47" s="817">
        <v>1476</v>
      </c>
      <c r="M47" s="817"/>
      <c r="O47" s="853"/>
    </row>
    <row r="48" spans="1:15" x14ac:dyDescent="0.2">
      <c r="A48" s="181">
        <v>38</v>
      </c>
      <c r="B48" s="185" t="s">
        <v>167</v>
      </c>
      <c r="C48" s="186" t="s">
        <v>168</v>
      </c>
      <c r="D48" s="817">
        <f t="shared" si="3"/>
        <v>3788</v>
      </c>
      <c r="E48" s="817">
        <f t="shared" si="2"/>
        <v>0</v>
      </c>
      <c r="F48" s="817">
        <v>619</v>
      </c>
      <c r="G48" s="817"/>
      <c r="H48" s="817">
        <v>847</v>
      </c>
      <c r="I48" s="817"/>
      <c r="J48" s="817">
        <v>1874</v>
      </c>
      <c r="K48" s="817"/>
      <c r="L48" s="817">
        <v>448</v>
      </c>
      <c r="M48" s="817"/>
      <c r="O48" s="853"/>
    </row>
    <row r="49" spans="1:15" x14ac:dyDescent="0.2">
      <c r="A49" s="181">
        <v>39</v>
      </c>
      <c r="B49" s="184" t="s">
        <v>169</v>
      </c>
      <c r="C49" s="183" t="s">
        <v>170</v>
      </c>
      <c r="D49" s="817">
        <f t="shared" si="3"/>
        <v>5121</v>
      </c>
      <c r="E49" s="817">
        <f t="shared" si="2"/>
        <v>0</v>
      </c>
      <c r="F49" s="817">
        <v>1740</v>
      </c>
      <c r="G49" s="817"/>
      <c r="H49" s="817">
        <v>2167</v>
      </c>
      <c r="I49" s="817"/>
      <c r="J49" s="817">
        <v>954</v>
      </c>
      <c r="K49" s="817"/>
      <c r="L49" s="817">
        <v>260</v>
      </c>
      <c r="M49" s="817"/>
      <c r="O49" s="853"/>
    </row>
    <row r="50" spans="1:15" x14ac:dyDescent="0.2">
      <c r="A50" s="181">
        <v>40</v>
      </c>
      <c r="B50" s="185" t="s">
        <v>171</v>
      </c>
      <c r="C50" s="186" t="s">
        <v>172</v>
      </c>
      <c r="D50" s="817">
        <f t="shared" si="3"/>
        <v>26586</v>
      </c>
      <c r="E50" s="817">
        <f t="shared" si="2"/>
        <v>169</v>
      </c>
      <c r="F50" s="817">
        <v>4411</v>
      </c>
      <c r="G50" s="817">
        <v>1</v>
      </c>
      <c r="H50" s="817">
        <v>7654</v>
      </c>
      <c r="I50" s="817"/>
      <c r="J50" s="817">
        <v>11756</v>
      </c>
      <c r="K50" s="817">
        <v>4</v>
      </c>
      <c r="L50" s="817">
        <v>2596</v>
      </c>
      <c r="M50" s="817">
        <f>154+10</f>
        <v>164</v>
      </c>
      <c r="O50" s="853"/>
    </row>
    <row r="51" spans="1:15" x14ac:dyDescent="0.2">
      <c r="A51" s="181">
        <v>41</v>
      </c>
      <c r="B51" s="182" t="s">
        <v>78</v>
      </c>
      <c r="C51" s="183" t="s">
        <v>79</v>
      </c>
      <c r="D51" s="817">
        <f t="shared" si="3"/>
        <v>7488</v>
      </c>
      <c r="E51" s="817">
        <f t="shared" si="2"/>
        <v>75</v>
      </c>
      <c r="F51" s="817">
        <v>995</v>
      </c>
      <c r="G51" s="817"/>
      <c r="H51" s="817">
        <v>1921</v>
      </c>
      <c r="I51" s="817"/>
      <c r="J51" s="817">
        <v>3782</v>
      </c>
      <c r="K51" s="817"/>
      <c r="L51" s="817">
        <v>715</v>
      </c>
      <c r="M51" s="817">
        <f>60+15</f>
        <v>75</v>
      </c>
      <c r="O51" s="853"/>
    </row>
    <row r="52" spans="1:15" x14ac:dyDescent="0.2">
      <c r="A52" s="181">
        <v>42</v>
      </c>
      <c r="B52" s="182" t="s">
        <v>173</v>
      </c>
      <c r="C52" s="183" t="s">
        <v>174</v>
      </c>
      <c r="D52" s="817">
        <f t="shared" si="3"/>
        <v>15104</v>
      </c>
      <c r="E52" s="817">
        <f t="shared" si="2"/>
        <v>63</v>
      </c>
      <c r="F52" s="817">
        <v>3851</v>
      </c>
      <c r="G52" s="817"/>
      <c r="H52" s="817">
        <v>4079</v>
      </c>
      <c r="I52" s="817"/>
      <c r="J52" s="817">
        <v>5632</v>
      </c>
      <c r="K52" s="817"/>
      <c r="L52" s="817">
        <v>1479</v>
      </c>
      <c r="M52" s="817">
        <f>23+40</f>
        <v>63</v>
      </c>
      <c r="O52" s="853"/>
    </row>
    <row r="53" spans="1:15" x14ac:dyDescent="0.2">
      <c r="A53" s="181">
        <v>43</v>
      </c>
      <c r="B53" s="185" t="s">
        <v>175</v>
      </c>
      <c r="C53" s="186" t="s">
        <v>176</v>
      </c>
      <c r="D53" s="817">
        <f t="shared" si="3"/>
        <v>5995</v>
      </c>
      <c r="E53" s="817">
        <f t="shared" si="2"/>
        <v>90</v>
      </c>
      <c r="F53" s="817">
        <v>837</v>
      </c>
      <c r="G53" s="817"/>
      <c r="H53" s="817">
        <v>1169</v>
      </c>
      <c r="I53" s="817"/>
      <c r="J53" s="817">
        <v>3042</v>
      </c>
      <c r="K53" s="817"/>
      <c r="L53" s="817">
        <v>857</v>
      </c>
      <c r="M53" s="817">
        <f>15+75</f>
        <v>90</v>
      </c>
      <c r="O53" s="853"/>
    </row>
    <row r="54" spans="1:15" x14ac:dyDescent="0.2">
      <c r="A54" s="181">
        <v>44</v>
      </c>
      <c r="B54" s="185" t="s">
        <v>42</v>
      </c>
      <c r="C54" s="186" t="s">
        <v>43</v>
      </c>
      <c r="D54" s="817">
        <f t="shared" si="3"/>
        <v>8227</v>
      </c>
      <c r="E54" s="817">
        <f t="shared" si="2"/>
        <v>60</v>
      </c>
      <c r="F54" s="817">
        <v>1292</v>
      </c>
      <c r="G54" s="817"/>
      <c r="H54" s="817">
        <v>2113</v>
      </c>
      <c r="I54" s="817"/>
      <c r="J54" s="817">
        <v>4518</v>
      </c>
      <c r="K54" s="817"/>
      <c r="L54" s="817">
        <v>244</v>
      </c>
      <c r="M54" s="817">
        <v>60</v>
      </c>
      <c r="O54" s="853"/>
    </row>
    <row r="55" spans="1:15" ht="10.5" customHeight="1" x14ac:dyDescent="0.2">
      <c r="A55" s="181">
        <v>45</v>
      </c>
      <c r="B55" s="184" t="s">
        <v>177</v>
      </c>
      <c r="C55" s="183" t="s">
        <v>178</v>
      </c>
      <c r="D55" s="817">
        <f t="shared" si="3"/>
        <v>9605</v>
      </c>
      <c r="E55" s="817">
        <f t="shared" si="2"/>
        <v>20</v>
      </c>
      <c r="F55" s="817">
        <v>1571</v>
      </c>
      <c r="G55" s="817"/>
      <c r="H55" s="817">
        <v>2439</v>
      </c>
      <c r="I55" s="817"/>
      <c r="J55" s="817">
        <v>4012</v>
      </c>
      <c r="K55" s="817"/>
      <c r="L55" s="817">
        <v>1563</v>
      </c>
      <c r="M55" s="817">
        <v>20</v>
      </c>
      <c r="O55" s="853"/>
    </row>
    <row r="56" spans="1:15" x14ac:dyDescent="0.2">
      <c r="A56" s="181">
        <v>46</v>
      </c>
      <c r="B56" s="185" t="s">
        <v>179</v>
      </c>
      <c r="C56" s="186" t="s">
        <v>180</v>
      </c>
      <c r="D56" s="817">
        <f t="shared" si="3"/>
        <v>4608</v>
      </c>
      <c r="E56" s="817">
        <f t="shared" si="2"/>
        <v>8</v>
      </c>
      <c r="F56" s="817">
        <v>619</v>
      </c>
      <c r="G56" s="817"/>
      <c r="H56" s="817">
        <v>924</v>
      </c>
      <c r="I56" s="817"/>
      <c r="J56" s="817">
        <v>2100</v>
      </c>
      <c r="K56" s="817"/>
      <c r="L56" s="817">
        <v>957</v>
      </c>
      <c r="M56" s="817">
        <v>8</v>
      </c>
      <c r="O56" s="853"/>
    </row>
    <row r="57" spans="1:15" x14ac:dyDescent="0.2">
      <c r="A57" s="181">
        <v>47</v>
      </c>
      <c r="B57" s="184" t="s">
        <v>181</v>
      </c>
      <c r="C57" s="183" t="s">
        <v>182</v>
      </c>
      <c r="D57" s="817">
        <f t="shared" si="3"/>
        <v>5661</v>
      </c>
      <c r="E57" s="817">
        <f t="shared" si="2"/>
        <v>0</v>
      </c>
      <c r="F57" s="817">
        <v>1056</v>
      </c>
      <c r="G57" s="817"/>
      <c r="H57" s="817">
        <v>936</v>
      </c>
      <c r="I57" s="817"/>
      <c r="J57" s="817">
        <v>2895</v>
      </c>
      <c r="K57" s="817"/>
      <c r="L57" s="817">
        <v>774</v>
      </c>
      <c r="M57" s="817"/>
      <c r="O57" s="853"/>
    </row>
    <row r="58" spans="1:15" x14ac:dyDescent="0.2">
      <c r="A58" s="181">
        <v>48</v>
      </c>
      <c r="B58" s="185" t="s">
        <v>183</v>
      </c>
      <c r="C58" s="186" t="s">
        <v>184</v>
      </c>
      <c r="D58" s="817">
        <f t="shared" si="3"/>
        <v>13308</v>
      </c>
      <c r="E58" s="817">
        <f t="shared" si="2"/>
        <v>25</v>
      </c>
      <c r="F58" s="817">
        <v>1652</v>
      </c>
      <c r="G58" s="817"/>
      <c r="H58" s="817">
        <v>2157</v>
      </c>
      <c r="I58" s="817"/>
      <c r="J58" s="817">
        <v>6543</v>
      </c>
      <c r="K58" s="817">
        <v>4</v>
      </c>
      <c r="L58" s="817">
        <v>2931</v>
      </c>
      <c r="M58" s="817">
        <f>6+15</f>
        <v>21</v>
      </c>
      <c r="O58" s="853"/>
    </row>
    <row r="59" spans="1:15" x14ac:dyDescent="0.2">
      <c r="A59" s="181">
        <v>49</v>
      </c>
      <c r="B59" s="185" t="s">
        <v>185</v>
      </c>
      <c r="C59" s="186" t="s">
        <v>186</v>
      </c>
      <c r="D59" s="817">
        <f t="shared" si="3"/>
        <v>32809</v>
      </c>
      <c r="E59" s="817">
        <f t="shared" si="2"/>
        <v>286</v>
      </c>
      <c r="F59" s="817">
        <v>4836</v>
      </c>
      <c r="G59" s="817">
        <v>1</v>
      </c>
      <c r="H59" s="817">
        <v>7850</v>
      </c>
      <c r="I59" s="817"/>
      <c r="J59" s="817">
        <v>16678</v>
      </c>
      <c r="K59" s="817">
        <f>2+3+2</f>
        <v>7</v>
      </c>
      <c r="L59" s="817">
        <v>3159</v>
      </c>
      <c r="M59" s="817">
        <f>6+142+109+21</f>
        <v>278</v>
      </c>
      <c r="O59" s="853"/>
    </row>
    <row r="60" spans="1:15" x14ac:dyDescent="0.2">
      <c r="A60" s="181">
        <v>50</v>
      </c>
      <c r="B60" s="185" t="s">
        <v>187</v>
      </c>
      <c r="C60" s="186" t="s">
        <v>188</v>
      </c>
      <c r="D60" s="817">
        <f t="shared" si="3"/>
        <v>5425</v>
      </c>
      <c r="E60" s="817">
        <f t="shared" si="2"/>
        <v>15</v>
      </c>
      <c r="F60" s="817">
        <v>633</v>
      </c>
      <c r="G60" s="817"/>
      <c r="H60" s="817">
        <v>1105</v>
      </c>
      <c r="I60" s="817"/>
      <c r="J60" s="817">
        <v>2454</v>
      </c>
      <c r="K60" s="817"/>
      <c r="L60" s="817">
        <v>1218</v>
      </c>
      <c r="M60" s="817">
        <v>15</v>
      </c>
      <c r="O60" s="853"/>
    </row>
    <row r="61" spans="1:15" x14ac:dyDescent="0.2">
      <c r="A61" s="181">
        <v>51</v>
      </c>
      <c r="B61" s="185" t="s">
        <v>189</v>
      </c>
      <c r="C61" s="186" t="s">
        <v>190</v>
      </c>
      <c r="D61" s="817">
        <f t="shared" si="3"/>
        <v>0</v>
      </c>
      <c r="E61" s="817">
        <f t="shared" si="2"/>
        <v>0</v>
      </c>
      <c r="F61" s="817">
        <v>0</v>
      </c>
      <c r="G61" s="817"/>
      <c r="H61" s="817">
        <v>0</v>
      </c>
      <c r="I61" s="817"/>
      <c r="J61" s="817">
        <v>0</v>
      </c>
      <c r="K61" s="817"/>
      <c r="L61" s="817">
        <v>0</v>
      </c>
      <c r="M61" s="817"/>
      <c r="O61" s="853"/>
    </row>
    <row r="62" spans="1:15" x14ac:dyDescent="0.2">
      <c r="A62" s="181">
        <v>52</v>
      </c>
      <c r="B62" s="191" t="s">
        <v>191</v>
      </c>
      <c r="C62" s="188" t="s">
        <v>192</v>
      </c>
      <c r="D62" s="817">
        <f t="shared" si="3"/>
        <v>0</v>
      </c>
      <c r="E62" s="817">
        <f t="shared" si="2"/>
        <v>0</v>
      </c>
      <c r="F62" s="817">
        <v>0</v>
      </c>
      <c r="G62" s="817"/>
      <c r="H62" s="817">
        <v>0</v>
      </c>
      <c r="I62" s="817"/>
      <c r="J62" s="817">
        <v>0</v>
      </c>
      <c r="K62" s="817"/>
      <c r="L62" s="817">
        <v>0</v>
      </c>
      <c r="M62" s="817"/>
      <c r="O62" s="853"/>
    </row>
    <row r="63" spans="1:15" x14ac:dyDescent="0.2">
      <c r="A63" s="181">
        <v>53</v>
      </c>
      <c r="B63" s="185" t="s">
        <v>22</v>
      </c>
      <c r="C63" s="186" t="s">
        <v>23</v>
      </c>
      <c r="D63" s="817">
        <f t="shared" si="3"/>
        <v>160</v>
      </c>
      <c r="E63" s="817">
        <f t="shared" si="2"/>
        <v>160</v>
      </c>
      <c r="F63" s="817">
        <v>0</v>
      </c>
      <c r="G63" s="817"/>
      <c r="H63" s="817">
        <v>0</v>
      </c>
      <c r="I63" s="817"/>
      <c r="J63" s="817"/>
      <c r="K63" s="817">
        <v>1</v>
      </c>
      <c r="L63" s="817"/>
      <c r="M63" s="817">
        <f>20+59+80</f>
        <v>159</v>
      </c>
      <c r="O63" s="853"/>
    </row>
    <row r="64" spans="1:15" x14ac:dyDescent="0.2">
      <c r="A64" s="181">
        <v>54</v>
      </c>
      <c r="B64" s="184" t="s">
        <v>24</v>
      </c>
      <c r="C64" s="186" t="s">
        <v>362</v>
      </c>
      <c r="D64" s="817">
        <f t="shared" si="3"/>
        <v>250</v>
      </c>
      <c r="E64" s="817">
        <f t="shared" si="2"/>
        <v>250</v>
      </c>
      <c r="F64" s="817"/>
      <c r="G64" s="817">
        <f>3-3</f>
        <v>0</v>
      </c>
      <c r="H64" s="817">
        <v>0</v>
      </c>
      <c r="I64" s="817"/>
      <c r="J64" s="817">
        <v>0</v>
      </c>
      <c r="K64" s="817"/>
      <c r="L64" s="817"/>
      <c r="M64" s="817">
        <f>129+118+3</f>
        <v>250</v>
      </c>
      <c r="O64" s="853"/>
    </row>
    <row r="65" spans="1:15" x14ac:dyDescent="0.2">
      <c r="A65" s="181">
        <v>55</v>
      </c>
      <c r="B65" s="187" t="s">
        <v>193</v>
      </c>
      <c r="C65" s="188" t="s">
        <v>194</v>
      </c>
      <c r="D65" s="817">
        <f t="shared" si="3"/>
        <v>40</v>
      </c>
      <c r="E65" s="817">
        <f t="shared" si="2"/>
        <v>40</v>
      </c>
      <c r="F65" s="817">
        <v>0</v>
      </c>
      <c r="G65" s="817"/>
      <c r="H65" s="817">
        <v>0</v>
      </c>
      <c r="I65" s="817"/>
      <c r="J65" s="817">
        <v>0</v>
      </c>
      <c r="K65" s="817"/>
      <c r="L65" s="817"/>
      <c r="M65" s="817">
        <v>40</v>
      </c>
      <c r="O65" s="853"/>
    </row>
    <row r="66" spans="1:15" x14ac:dyDescent="0.2">
      <c r="A66" s="181">
        <v>56</v>
      </c>
      <c r="B66" s="184" t="s">
        <v>26</v>
      </c>
      <c r="C66" s="186" t="s">
        <v>363</v>
      </c>
      <c r="D66" s="817">
        <f t="shared" si="3"/>
        <v>45</v>
      </c>
      <c r="E66" s="817">
        <f t="shared" si="2"/>
        <v>45</v>
      </c>
      <c r="F66" s="817">
        <v>0</v>
      </c>
      <c r="G66" s="817"/>
      <c r="H66" s="817">
        <v>0</v>
      </c>
      <c r="I66" s="817"/>
      <c r="J66" s="817">
        <v>0</v>
      </c>
      <c r="K66" s="817"/>
      <c r="L66" s="817"/>
      <c r="M66" s="817">
        <f>12+13+20</f>
        <v>45</v>
      </c>
      <c r="O66" s="853"/>
    </row>
    <row r="67" spans="1:15" x14ac:dyDescent="0.2">
      <c r="A67" s="181">
        <v>57</v>
      </c>
      <c r="B67" s="185" t="s">
        <v>28</v>
      </c>
      <c r="C67" s="186" t="s">
        <v>29</v>
      </c>
      <c r="D67" s="817">
        <f t="shared" si="3"/>
        <v>4</v>
      </c>
      <c r="E67" s="817">
        <f t="shared" si="2"/>
        <v>4</v>
      </c>
      <c r="F67" s="817">
        <v>0</v>
      </c>
      <c r="G67" s="817"/>
      <c r="H67" s="817">
        <v>0</v>
      </c>
      <c r="I67" s="817"/>
      <c r="J67" s="817">
        <v>0</v>
      </c>
      <c r="K67" s="817"/>
      <c r="L67" s="817"/>
      <c r="M67" s="817">
        <v>4</v>
      </c>
      <c r="O67" s="853"/>
    </row>
    <row r="68" spans="1:15" ht="22.5" x14ac:dyDescent="0.2">
      <c r="A68" s="181">
        <v>58</v>
      </c>
      <c r="B68" s="182" t="s">
        <v>196</v>
      </c>
      <c r="C68" s="186" t="s">
        <v>364</v>
      </c>
      <c r="D68" s="817">
        <f t="shared" si="3"/>
        <v>0</v>
      </c>
      <c r="E68" s="817">
        <f t="shared" si="2"/>
        <v>0</v>
      </c>
      <c r="F68" s="817">
        <v>0</v>
      </c>
      <c r="G68" s="817"/>
      <c r="H68" s="817">
        <v>0</v>
      </c>
      <c r="I68" s="817"/>
      <c r="J68" s="817">
        <v>0</v>
      </c>
      <c r="K68" s="817"/>
      <c r="L68" s="817">
        <v>0</v>
      </c>
      <c r="M68" s="817"/>
      <c r="O68" s="853"/>
    </row>
    <row r="69" spans="1:15" ht="22.5" x14ac:dyDescent="0.2">
      <c r="A69" s="181">
        <v>59</v>
      </c>
      <c r="B69" s="182" t="s">
        <v>198</v>
      </c>
      <c r="C69" s="186" t="s">
        <v>365</v>
      </c>
      <c r="D69" s="817">
        <f t="shared" si="3"/>
        <v>0</v>
      </c>
      <c r="E69" s="817">
        <f t="shared" si="2"/>
        <v>0</v>
      </c>
      <c r="F69" s="817">
        <v>0</v>
      </c>
      <c r="G69" s="817"/>
      <c r="H69" s="817">
        <v>0</v>
      </c>
      <c r="I69" s="817"/>
      <c r="J69" s="817">
        <v>0</v>
      </c>
      <c r="K69" s="817"/>
      <c r="L69" s="817">
        <v>0</v>
      </c>
      <c r="M69" s="817"/>
      <c r="O69" s="853"/>
    </row>
    <row r="70" spans="1:15" x14ac:dyDescent="0.2">
      <c r="A70" s="181">
        <v>60</v>
      </c>
      <c r="B70" s="184" t="s">
        <v>62</v>
      </c>
      <c r="C70" s="186" t="s">
        <v>366</v>
      </c>
      <c r="D70" s="817">
        <f t="shared" si="3"/>
        <v>25651</v>
      </c>
      <c r="E70" s="817">
        <f t="shared" si="2"/>
        <v>0</v>
      </c>
      <c r="F70" s="817">
        <v>4629</v>
      </c>
      <c r="G70" s="817"/>
      <c r="H70" s="817">
        <v>6200</v>
      </c>
      <c r="I70" s="817"/>
      <c r="J70" s="817">
        <v>13032</v>
      </c>
      <c r="K70" s="817"/>
      <c r="L70" s="817">
        <f>1835-45</f>
        <v>1790</v>
      </c>
      <c r="M70" s="817"/>
      <c r="O70" s="853"/>
    </row>
    <row r="71" spans="1:15" x14ac:dyDescent="0.2">
      <c r="A71" s="181">
        <v>61</v>
      </c>
      <c r="B71" s="184" t="s">
        <v>64</v>
      </c>
      <c r="C71" s="183" t="s">
        <v>201</v>
      </c>
      <c r="D71" s="817">
        <f t="shared" si="3"/>
        <v>20227</v>
      </c>
      <c r="E71" s="817">
        <f t="shared" si="2"/>
        <v>0</v>
      </c>
      <c r="F71" s="817">
        <f>3330+3</f>
        <v>3333</v>
      </c>
      <c r="G71" s="817"/>
      <c r="H71" s="817">
        <v>3801</v>
      </c>
      <c r="I71" s="817"/>
      <c r="J71" s="817">
        <f>10373-1</f>
        <v>10372</v>
      </c>
      <c r="K71" s="817"/>
      <c r="L71" s="817">
        <f>2756-32-3</f>
        <v>2721</v>
      </c>
      <c r="M71" s="817"/>
      <c r="O71" s="853"/>
    </row>
    <row r="72" spans="1:15" x14ac:dyDescent="0.2">
      <c r="A72" s="181">
        <v>62</v>
      </c>
      <c r="B72" s="184" t="s">
        <v>66</v>
      </c>
      <c r="C72" s="186" t="s">
        <v>367</v>
      </c>
      <c r="D72" s="817">
        <f t="shared" si="3"/>
        <v>37574</v>
      </c>
      <c r="E72" s="817">
        <f t="shared" si="2"/>
        <v>0</v>
      </c>
      <c r="F72" s="817">
        <v>6356</v>
      </c>
      <c r="G72" s="817"/>
      <c r="H72" s="817">
        <v>7605</v>
      </c>
      <c r="I72" s="817"/>
      <c r="J72" s="817">
        <v>18800</v>
      </c>
      <c r="K72" s="817"/>
      <c r="L72" s="817">
        <f>4880-67</f>
        <v>4813</v>
      </c>
      <c r="M72" s="817"/>
      <c r="O72" s="853"/>
    </row>
    <row r="73" spans="1:15" x14ac:dyDescent="0.2">
      <c r="A73" s="181">
        <v>63</v>
      </c>
      <c r="B73" s="184" t="s">
        <v>203</v>
      </c>
      <c r="C73" s="186" t="s">
        <v>368</v>
      </c>
      <c r="D73" s="817">
        <f t="shared" si="3"/>
        <v>15</v>
      </c>
      <c r="E73" s="817">
        <f t="shared" ref="E73:E136" si="5">G73+I73+K73+M73</f>
        <v>0</v>
      </c>
      <c r="F73" s="817">
        <v>0</v>
      </c>
      <c r="G73" s="817"/>
      <c r="H73" s="817">
        <v>0</v>
      </c>
      <c r="I73" s="817"/>
      <c r="J73" s="817">
        <v>0</v>
      </c>
      <c r="K73" s="817"/>
      <c r="L73" s="817">
        <v>15</v>
      </c>
      <c r="M73" s="817"/>
      <c r="O73" s="853"/>
    </row>
    <row r="74" spans="1:15" x14ac:dyDescent="0.2">
      <c r="A74" s="181">
        <v>64</v>
      </c>
      <c r="B74" s="182" t="s">
        <v>205</v>
      </c>
      <c r="C74" s="186" t="s">
        <v>369</v>
      </c>
      <c r="D74" s="817">
        <f t="shared" ref="D74:D137" si="6">SUM(F74:M74)</f>
        <v>7</v>
      </c>
      <c r="E74" s="817">
        <f t="shared" si="5"/>
        <v>0</v>
      </c>
      <c r="F74" s="817">
        <v>0</v>
      </c>
      <c r="G74" s="817"/>
      <c r="H74" s="817">
        <v>0</v>
      </c>
      <c r="I74" s="817"/>
      <c r="J74" s="817">
        <v>0</v>
      </c>
      <c r="K74" s="817"/>
      <c r="L74" s="817">
        <v>7</v>
      </c>
      <c r="M74" s="817"/>
      <c r="O74" s="853"/>
    </row>
    <row r="75" spans="1:15" x14ac:dyDescent="0.2">
      <c r="A75" s="181">
        <v>65</v>
      </c>
      <c r="B75" s="184" t="s">
        <v>207</v>
      </c>
      <c r="C75" s="186" t="s">
        <v>370</v>
      </c>
      <c r="D75" s="817">
        <f t="shared" si="6"/>
        <v>11</v>
      </c>
      <c r="E75" s="817">
        <f t="shared" si="5"/>
        <v>0</v>
      </c>
      <c r="F75" s="817">
        <v>4</v>
      </c>
      <c r="G75" s="817"/>
      <c r="H75" s="817">
        <v>0</v>
      </c>
      <c r="I75" s="817"/>
      <c r="J75" s="817">
        <v>0</v>
      </c>
      <c r="K75" s="817"/>
      <c r="L75" s="817">
        <v>7</v>
      </c>
      <c r="M75" s="817"/>
      <c r="O75" s="853"/>
    </row>
    <row r="76" spans="1:15" x14ac:dyDescent="0.2">
      <c r="A76" s="181">
        <v>66</v>
      </c>
      <c r="B76" s="184" t="s">
        <v>209</v>
      </c>
      <c r="C76" s="186" t="s">
        <v>371</v>
      </c>
      <c r="D76" s="817">
        <f t="shared" si="6"/>
        <v>16</v>
      </c>
      <c r="E76" s="817">
        <f t="shared" si="5"/>
        <v>0</v>
      </c>
      <c r="F76" s="817">
        <v>0</v>
      </c>
      <c r="G76" s="817"/>
      <c r="H76" s="817">
        <v>0</v>
      </c>
      <c r="I76" s="817"/>
      <c r="J76" s="817">
        <v>0</v>
      </c>
      <c r="K76" s="817"/>
      <c r="L76" s="817">
        <v>16</v>
      </c>
      <c r="M76" s="817"/>
      <c r="O76" s="853"/>
    </row>
    <row r="77" spans="1:15" x14ac:dyDescent="0.2">
      <c r="A77" s="181">
        <v>67</v>
      </c>
      <c r="B77" s="182" t="s">
        <v>211</v>
      </c>
      <c r="C77" s="186" t="s">
        <v>372</v>
      </c>
      <c r="D77" s="817">
        <f t="shared" si="6"/>
        <v>0</v>
      </c>
      <c r="E77" s="817">
        <f t="shared" si="5"/>
        <v>0</v>
      </c>
      <c r="F77" s="817">
        <v>0</v>
      </c>
      <c r="G77" s="817"/>
      <c r="H77" s="817">
        <v>0</v>
      </c>
      <c r="I77" s="817"/>
      <c r="J77" s="817">
        <v>0</v>
      </c>
      <c r="K77" s="817"/>
      <c r="L77" s="817">
        <v>0</v>
      </c>
      <c r="M77" s="817"/>
      <c r="O77" s="853"/>
    </row>
    <row r="78" spans="1:15" x14ac:dyDescent="0.2">
      <c r="A78" s="181">
        <v>68</v>
      </c>
      <c r="B78" s="182" t="s">
        <v>213</v>
      </c>
      <c r="C78" s="186" t="s">
        <v>373</v>
      </c>
      <c r="D78" s="817">
        <f t="shared" si="6"/>
        <v>10</v>
      </c>
      <c r="E78" s="817">
        <f t="shared" si="5"/>
        <v>0</v>
      </c>
      <c r="F78" s="817">
        <v>0</v>
      </c>
      <c r="G78" s="817"/>
      <c r="H78" s="817">
        <v>0</v>
      </c>
      <c r="I78" s="817"/>
      <c r="J78" s="817">
        <v>0</v>
      </c>
      <c r="K78" s="817"/>
      <c r="L78" s="817">
        <v>10</v>
      </c>
      <c r="M78" s="817"/>
      <c r="O78" s="853"/>
    </row>
    <row r="79" spans="1:15" x14ac:dyDescent="0.2">
      <c r="A79" s="181">
        <v>69</v>
      </c>
      <c r="B79" s="182" t="s">
        <v>215</v>
      </c>
      <c r="C79" s="186" t="s">
        <v>374</v>
      </c>
      <c r="D79" s="817">
        <f t="shared" si="6"/>
        <v>0</v>
      </c>
      <c r="E79" s="817">
        <f t="shared" si="5"/>
        <v>0</v>
      </c>
      <c r="F79" s="817">
        <v>0</v>
      </c>
      <c r="G79" s="817"/>
      <c r="H79" s="817">
        <v>0</v>
      </c>
      <c r="I79" s="817"/>
      <c r="J79" s="817">
        <v>0</v>
      </c>
      <c r="K79" s="817"/>
      <c r="L79" s="817">
        <v>0</v>
      </c>
      <c r="M79" s="817"/>
      <c r="O79" s="853"/>
    </row>
    <row r="80" spans="1:15" x14ac:dyDescent="0.2">
      <c r="A80" s="181">
        <v>70</v>
      </c>
      <c r="B80" s="185" t="s">
        <v>217</v>
      </c>
      <c r="C80" s="186" t="s">
        <v>218</v>
      </c>
      <c r="D80" s="817">
        <f t="shared" si="6"/>
        <v>20847</v>
      </c>
      <c r="E80" s="817">
        <f t="shared" si="5"/>
        <v>98</v>
      </c>
      <c r="F80" s="817">
        <v>3774</v>
      </c>
      <c r="G80" s="817"/>
      <c r="H80" s="817">
        <v>5079</v>
      </c>
      <c r="I80" s="817"/>
      <c r="J80" s="817">
        <v>10573</v>
      </c>
      <c r="K80" s="817"/>
      <c r="L80" s="817">
        <f>1360-37</f>
        <v>1323</v>
      </c>
      <c r="M80" s="817">
        <v>98</v>
      </c>
      <c r="O80" s="853"/>
    </row>
    <row r="81" spans="1:15" x14ac:dyDescent="0.2">
      <c r="A81" s="181">
        <v>71</v>
      </c>
      <c r="B81" s="182" t="s">
        <v>50</v>
      </c>
      <c r="C81" s="186" t="s">
        <v>375</v>
      </c>
      <c r="D81" s="817">
        <f t="shared" si="6"/>
        <v>45577</v>
      </c>
      <c r="E81" s="817">
        <f t="shared" si="5"/>
        <v>0</v>
      </c>
      <c r="F81" s="817">
        <v>8491</v>
      </c>
      <c r="G81" s="817"/>
      <c r="H81" s="817">
        <v>9670</v>
      </c>
      <c r="I81" s="817"/>
      <c r="J81" s="817">
        <v>22499</v>
      </c>
      <c r="K81" s="817"/>
      <c r="L81" s="817">
        <f>4998-81</f>
        <v>4917</v>
      </c>
      <c r="M81" s="817"/>
      <c r="O81" s="853"/>
    </row>
    <row r="82" spans="1:15" x14ac:dyDescent="0.2">
      <c r="A82" s="181">
        <v>72</v>
      </c>
      <c r="B82" s="185" t="s">
        <v>52</v>
      </c>
      <c r="C82" s="186" t="s">
        <v>220</v>
      </c>
      <c r="D82" s="817">
        <f t="shared" si="6"/>
        <v>32665</v>
      </c>
      <c r="E82" s="817">
        <f t="shared" si="5"/>
        <v>0</v>
      </c>
      <c r="F82" s="817">
        <v>5485</v>
      </c>
      <c r="G82" s="817"/>
      <c r="H82" s="817">
        <v>6532</v>
      </c>
      <c r="I82" s="817"/>
      <c r="J82" s="817">
        <v>15764</v>
      </c>
      <c r="K82" s="817"/>
      <c r="L82" s="817">
        <f>4942-58</f>
        <v>4884</v>
      </c>
      <c r="M82" s="817"/>
      <c r="O82" s="853"/>
    </row>
    <row r="83" spans="1:15" x14ac:dyDescent="0.2">
      <c r="A83" s="181">
        <v>73</v>
      </c>
      <c r="B83" s="187" t="s">
        <v>44</v>
      </c>
      <c r="C83" s="188" t="s">
        <v>221</v>
      </c>
      <c r="D83" s="817">
        <f t="shared" si="6"/>
        <v>12793</v>
      </c>
      <c r="E83" s="817">
        <f t="shared" si="5"/>
        <v>0</v>
      </c>
      <c r="F83" s="817">
        <v>2061</v>
      </c>
      <c r="G83" s="817"/>
      <c r="H83" s="817">
        <v>1994</v>
      </c>
      <c r="I83" s="817"/>
      <c r="J83" s="817">
        <v>6950</v>
      </c>
      <c r="K83" s="817"/>
      <c r="L83" s="817">
        <f>1811-23</f>
        <v>1788</v>
      </c>
      <c r="M83" s="817"/>
      <c r="O83" s="853"/>
    </row>
    <row r="84" spans="1:15" x14ac:dyDescent="0.2">
      <c r="A84" s="181">
        <v>74</v>
      </c>
      <c r="B84" s="182" t="s">
        <v>54</v>
      </c>
      <c r="C84" s="186" t="s">
        <v>222</v>
      </c>
      <c r="D84" s="817">
        <f t="shared" si="6"/>
        <v>48639</v>
      </c>
      <c r="E84" s="817">
        <f t="shared" si="5"/>
        <v>0</v>
      </c>
      <c r="F84" s="817">
        <v>8020</v>
      </c>
      <c r="G84" s="817"/>
      <c r="H84" s="817">
        <v>11948</v>
      </c>
      <c r="I84" s="817"/>
      <c r="J84" s="817">
        <v>23514</v>
      </c>
      <c r="K84" s="817"/>
      <c r="L84" s="817">
        <f>5243-86</f>
        <v>5157</v>
      </c>
      <c r="M84" s="817"/>
      <c r="O84" s="853"/>
    </row>
    <row r="85" spans="1:15" x14ac:dyDescent="0.2">
      <c r="A85" s="181">
        <v>75</v>
      </c>
      <c r="B85" s="187" t="s">
        <v>36</v>
      </c>
      <c r="C85" s="188" t="s">
        <v>37</v>
      </c>
      <c r="D85" s="817">
        <f t="shared" si="6"/>
        <v>100</v>
      </c>
      <c r="E85" s="817">
        <f t="shared" si="5"/>
        <v>100</v>
      </c>
      <c r="F85" s="817">
        <v>0</v>
      </c>
      <c r="G85" s="817"/>
      <c r="H85" s="817">
        <v>0</v>
      </c>
      <c r="I85" s="817"/>
      <c r="J85" s="817">
        <v>0</v>
      </c>
      <c r="K85" s="817"/>
      <c r="L85" s="817"/>
      <c r="M85" s="817">
        <f>3+16+12+18+27+14+10</f>
        <v>100</v>
      </c>
      <c r="O85" s="853"/>
    </row>
    <row r="86" spans="1:15" x14ac:dyDescent="0.2">
      <c r="A86" s="181">
        <v>76</v>
      </c>
      <c r="B86" s="182" t="s">
        <v>48</v>
      </c>
      <c r="C86" s="186" t="s">
        <v>376</v>
      </c>
      <c r="D86" s="817">
        <f t="shared" si="6"/>
        <v>39548</v>
      </c>
      <c r="E86" s="817">
        <f t="shared" si="5"/>
        <v>0</v>
      </c>
      <c r="F86" s="817">
        <v>6755</v>
      </c>
      <c r="G86" s="817"/>
      <c r="H86" s="817">
        <v>7661</v>
      </c>
      <c r="I86" s="817"/>
      <c r="J86" s="817">
        <v>17790</v>
      </c>
      <c r="K86" s="817"/>
      <c r="L86" s="817">
        <f>7412-70</f>
        <v>7342</v>
      </c>
      <c r="M86" s="817"/>
      <c r="O86" s="853"/>
    </row>
    <row r="87" spans="1:15" x14ac:dyDescent="0.2">
      <c r="A87" s="181">
        <v>77</v>
      </c>
      <c r="B87" s="187" t="s">
        <v>224</v>
      </c>
      <c r="C87" s="188" t="s">
        <v>225</v>
      </c>
      <c r="D87" s="817">
        <f t="shared" si="6"/>
        <v>77</v>
      </c>
      <c r="E87" s="817">
        <f t="shared" si="5"/>
        <v>0</v>
      </c>
      <c r="F87" s="817">
        <v>0</v>
      </c>
      <c r="G87" s="817"/>
      <c r="H87" s="817">
        <v>0</v>
      </c>
      <c r="I87" s="817"/>
      <c r="J87" s="817">
        <v>0</v>
      </c>
      <c r="K87" s="817"/>
      <c r="L87" s="817">
        <v>77</v>
      </c>
      <c r="M87" s="817"/>
      <c r="O87" s="853"/>
    </row>
    <row r="88" spans="1:15" x14ac:dyDescent="0.2">
      <c r="A88" s="181">
        <v>78</v>
      </c>
      <c r="B88" s="184" t="s">
        <v>226</v>
      </c>
      <c r="C88" s="186" t="s">
        <v>377</v>
      </c>
      <c r="D88" s="817">
        <f t="shared" si="6"/>
        <v>0</v>
      </c>
      <c r="E88" s="817">
        <f t="shared" si="5"/>
        <v>0</v>
      </c>
      <c r="F88" s="817">
        <v>0</v>
      </c>
      <c r="G88" s="817"/>
      <c r="H88" s="817">
        <v>0</v>
      </c>
      <c r="I88" s="817"/>
      <c r="J88" s="817">
        <v>0</v>
      </c>
      <c r="K88" s="817"/>
      <c r="L88" s="817">
        <v>0</v>
      </c>
      <c r="M88" s="817"/>
      <c r="O88" s="853"/>
    </row>
    <row r="89" spans="1:15" ht="21" x14ac:dyDescent="0.2">
      <c r="A89" s="1157">
        <v>79</v>
      </c>
      <c r="B89" s="1160" t="s">
        <v>228</v>
      </c>
      <c r="C89" s="818" t="s">
        <v>229</v>
      </c>
      <c r="D89" s="817">
        <f t="shared" si="6"/>
        <v>138</v>
      </c>
      <c r="E89" s="817">
        <f t="shared" si="5"/>
        <v>0</v>
      </c>
      <c r="F89" s="817">
        <v>29</v>
      </c>
      <c r="G89" s="817"/>
      <c r="H89" s="817">
        <v>2</v>
      </c>
      <c r="I89" s="817"/>
      <c r="J89" s="817">
        <v>79</v>
      </c>
      <c r="K89" s="817"/>
      <c r="L89" s="817">
        <v>28</v>
      </c>
      <c r="M89" s="817"/>
      <c r="O89" s="853"/>
    </row>
    <row r="90" spans="1:15" ht="33.75" x14ac:dyDescent="0.2">
      <c r="A90" s="1158"/>
      <c r="B90" s="1161"/>
      <c r="C90" s="188" t="s">
        <v>230</v>
      </c>
      <c r="D90" s="817">
        <f t="shared" si="6"/>
        <v>138</v>
      </c>
      <c r="E90" s="817">
        <f t="shared" si="5"/>
        <v>0</v>
      </c>
      <c r="F90" s="817">
        <v>29</v>
      </c>
      <c r="G90" s="817"/>
      <c r="H90" s="817">
        <v>2</v>
      </c>
      <c r="I90" s="817"/>
      <c r="J90" s="817">
        <v>79</v>
      </c>
      <c r="K90" s="817"/>
      <c r="L90" s="817">
        <v>28</v>
      </c>
      <c r="M90" s="817"/>
      <c r="O90" s="853"/>
    </row>
    <row r="91" spans="1:15" x14ac:dyDescent="0.2">
      <c r="A91" s="1158"/>
      <c r="B91" s="1161"/>
      <c r="C91" s="186" t="s">
        <v>231</v>
      </c>
      <c r="D91" s="817">
        <f t="shared" si="6"/>
        <v>0</v>
      </c>
      <c r="E91" s="817">
        <f t="shared" si="5"/>
        <v>0</v>
      </c>
      <c r="F91" s="817">
        <v>0</v>
      </c>
      <c r="G91" s="817"/>
      <c r="H91" s="817">
        <v>0</v>
      </c>
      <c r="I91" s="817"/>
      <c r="J91" s="817">
        <v>0</v>
      </c>
      <c r="K91" s="817"/>
      <c r="L91" s="817">
        <v>0</v>
      </c>
      <c r="M91" s="817"/>
      <c r="O91" s="853"/>
    </row>
    <row r="92" spans="1:15" ht="22.5" x14ac:dyDescent="0.2">
      <c r="A92" s="1159"/>
      <c r="B92" s="1162"/>
      <c r="C92" s="819" t="s">
        <v>232</v>
      </c>
      <c r="D92" s="817">
        <f t="shared" si="6"/>
        <v>0</v>
      </c>
      <c r="E92" s="817">
        <f t="shared" si="5"/>
        <v>0</v>
      </c>
      <c r="F92" s="817">
        <v>0</v>
      </c>
      <c r="G92" s="817"/>
      <c r="H92" s="817">
        <v>0</v>
      </c>
      <c r="I92" s="817"/>
      <c r="J92" s="817">
        <v>0</v>
      </c>
      <c r="K92" s="817"/>
      <c r="L92" s="817">
        <v>0</v>
      </c>
      <c r="M92" s="817"/>
      <c r="O92" s="853"/>
    </row>
    <row r="93" spans="1:15" ht="22.5" x14ac:dyDescent="0.2">
      <c r="A93" s="181">
        <v>80</v>
      </c>
      <c r="B93" s="184" t="s">
        <v>233</v>
      </c>
      <c r="C93" s="183" t="s">
        <v>234</v>
      </c>
      <c r="D93" s="817">
        <f t="shared" si="6"/>
        <v>0</v>
      </c>
      <c r="E93" s="817">
        <f t="shared" si="5"/>
        <v>0</v>
      </c>
      <c r="F93" s="817">
        <v>0</v>
      </c>
      <c r="G93" s="817"/>
      <c r="H93" s="817">
        <v>0</v>
      </c>
      <c r="I93" s="817"/>
      <c r="J93" s="817">
        <v>0</v>
      </c>
      <c r="K93" s="817"/>
      <c r="L93" s="817">
        <v>0</v>
      </c>
      <c r="M93" s="817"/>
      <c r="O93" s="853"/>
    </row>
    <row r="94" spans="1:15" x14ac:dyDescent="0.2">
      <c r="A94" s="181">
        <v>81</v>
      </c>
      <c r="B94" s="184" t="s">
        <v>235</v>
      </c>
      <c r="C94" s="188" t="s">
        <v>236</v>
      </c>
      <c r="D94" s="817">
        <f t="shared" si="6"/>
        <v>1920</v>
      </c>
      <c r="E94" s="817">
        <f t="shared" si="5"/>
        <v>0</v>
      </c>
      <c r="F94" s="817">
        <v>246</v>
      </c>
      <c r="G94" s="817"/>
      <c r="H94" s="817">
        <v>369</v>
      </c>
      <c r="I94" s="817"/>
      <c r="J94" s="817">
        <v>854</v>
      </c>
      <c r="K94" s="817"/>
      <c r="L94" s="817">
        <f>454-3</f>
        <v>451</v>
      </c>
      <c r="M94" s="817"/>
      <c r="O94" s="853"/>
    </row>
    <row r="95" spans="1:15" x14ac:dyDescent="0.2">
      <c r="A95" s="181">
        <v>82</v>
      </c>
      <c r="B95" s="185" t="s">
        <v>74</v>
      </c>
      <c r="C95" s="186" t="s">
        <v>237</v>
      </c>
      <c r="D95" s="817">
        <f t="shared" si="6"/>
        <v>10934</v>
      </c>
      <c r="E95" s="817">
        <f t="shared" si="5"/>
        <v>0</v>
      </c>
      <c r="F95" s="817">
        <v>1427</v>
      </c>
      <c r="G95" s="817"/>
      <c r="H95" s="817">
        <v>2977</v>
      </c>
      <c r="I95" s="817"/>
      <c r="J95" s="817">
        <v>4731</v>
      </c>
      <c r="K95" s="817"/>
      <c r="L95" s="817">
        <f>1818-19</f>
        <v>1799</v>
      </c>
      <c r="M95" s="817"/>
      <c r="O95" s="853"/>
    </row>
    <row r="96" spans="1:15" x14ac:dyDescent="0.2">
      <c r="A96" s="181">
        <v>83</v>
      </c>
      <c r="B96" s="184" t="s">
        <v>38</v>
      </c>
      <c r="C96" s="183" t="s">
        <v>39</v>
      </c>
      <c r="D96" s="817">
        <f t="shared" si="6"/>
        <v>4066</v>
      </c>
      <c r="E96" s="817">
        <f t="shared" si="5"/>
        <v>0</v>
      </c>
      <c r="F96" s="817">
        <v>541</v>
      </c>
      <c r="G96" s="817"/>
      <c r="H96" s="817">
        <v>1022</v>
      </c>
      <c r="I96" s="817"/>
      <c r="J96" s="817">
        <v>1842</v>
      </c>
      <c r="K96" s="817"/>
      <c r="L96" s="817">
        <v>661</v>
      </c>
      <c r="M96" s="817"/>
      <c r="O96" s="853"/>
    </row>
    <row r="97" spans="1:15" x14ac:dyDescent="0.2">
      <c r="A97" s="181">
        <v>84</v>
      </c>
      <c r="B97" s="185" t="s">
        <v>40</v>
      </c>
      <c r="C97" s="186" t="s">
        <v>41</v>
      </c>
      <c r="D97" s="817">
        <f t="shared" si="6"/>
        <v>3824</v>
      </c>
      <c r="E97" s="817">
        <f t="shared" si="5"/>
        <v>6</v>
      </c>
      <c r="F97" s="817">
        <v>480</v>
      </c>
      <c r="G97" s="817"/>
      <c r="H97" s="817">
        <v>995</v>
      </c>
      <c r="I97" s="817"/>
      <c r="J97" s="817">
        <v>2031</v>
      </c>
      <c r="K97" s="817"/>
      <c r="L97" s="817">
        <v>312</v>
      </c>
      <c r="M97" s="817">
        <v>6</v>
      </c>
      <c r="O97" s="853"/>
    </row>
    <row r="98" spans="1:15" x14ac:dyDescent="0.2">
      <c r="A98" s="181">
        <v>85</v>
      </c>
      <c r="B98" s="185" t="s">
        <v>238</v>
      </c>
      <c r="C98" s="186" t="s">
        <v>239</v>
      </c>
      <c r="D98" s="817">
        <f t="shared" si="6"/>
        <v>13234</v>
      </c>
      <c r="E98" s="817">
        <f t="shared" si="5"/>
        <v>0</v>
      </c>
      <c r="F98" s="817">
        <v>1834</v>
      </c>
      <c r="G98" s="817"/>
      <c r="H98" s="817">
        <v>2952</v>
      </c>
      <c r="I98" s="817"/>
      <c r="J98" s="817">
        <v>5586</v>
      </c>
      <c r="K98" s="817"/>
      <c r="L98" s="817">
        <v>2862</v>
      </c>
      <c r="M98" s="817"/>
      <c r="O98" s="853"/>
    </row>
    <row r="99" spans="1:15" x14ac:dyDescent="0.2">
      <c r="A99" s="181">
        <v>86</v>
      </c>
      <c r="B99" s="184" t="s">
        <v>240</v>
      </c>
      <c r="C99" s="188" t="s">
        <v>241</v>
      </c>
      <c r="D99" s="817">
        <f t="shared" si="6"/>
        <v>5363</v>
      </c>
      <c r="E99" s="817">
        <f t="shared" si="5"/>
        <v>0</v>
      </c>
      <c r="F99" s="817">
        <v>610</v>
      </c>
      <c r="G99" s="817"/>
      <c r="H99" s="817">
        <v>1178</v>
      </c>
      <c r="I99" s="817"/>
      <c r="J99" s="817">
        <v>2840</v>
      </c>
      <c r="K99" s="817"/>
      <c r="L99" s="817">
        <v>735</v>
      </c>
      <c r="M99" s="817"/>
      <c r="O99" s="853"/>
    </row>
    <row r="100" spans="1:15" x14ac:dyDescent="0.2">
      <c r="A100" s="181">
        <v>87</v>
      </c>
      <c r="B100" s="184" t="s">
        <v>88</v>
      </c>
      <c r="C100" s="183" t="s">
        <v>89</v>
      </c>
      <c r="D100" s="817">
        <f t="shared" si="6"/>
        <v>7137</v>
      </c>
      <c r="E100" s="817">
        <f t="shared" si="5"/>
        <v>0</v>
      </c>
      <c r="F100" s="817">
        <v>1162</v>
      </c>
      <c r="G100" s="817"/>
      <c r="H100" s="817">
        <v>1796</v>
      </c>
      <c r="I100" s="817"/>
      <c r="J100" s="817">
        <v>3902</v>
      </c>
      <c r="K100" s="817"/>
      <c r="L100" s="817">
        <v>277</v>
      </c>
      <c r="M100" s="817"/>
      <c r="O100" s="853"/>
    </row>
    <row r="101" spans="1:15" x14ac:dyDescent="0.2">
      <c r="A101" s="181">
        <v>88</v>
      </c>
      <c r="B101" s="182" t="s">
        <v>242</v>
      </c>
      <c r="C101" s="183" t="s">
        <v>243</v>
      </c>
      <c r="D101" s="817">
        <f t="shared" si="6"/>
        <v>12469</v>
      </c>
      <c r="E101" s="817">
        <f t="shared" si="5"/>
        <v>70</v>
      </c>
      <c r="F101" s="817">
        <v>2006</v>
      </c>
      <c r="G101" s="817"/>
      <c r="H101" s="817">
        <v>3563</v>
      </c>
      <c r="I101" s="817"/>
      <c r="J101" s="817">
        <v>5230</v>
      </c>
      <c r="K101" s="817"/>
      <c r="L101" s="817">
        <v>1600</v>
      </c>
      <c r="M101" s="817">
        <f>20+50</f>
        <v>70</v>
      </c>
      <c r="O101" s="853"/>
    </row>
    <row r="102" spans="1:15" x14ac:dyDescent="0.2">
      <c r="A102" s="181">
        <v>89</v>
      </c>
      <c r="B102" s="182" t="s">
        <v>244</v>
      </c>
      <c r="C102" s="183" t="s">
        <v>245</v>
      </c>
      <c r="D102" s="817">
        <f t="shared" si="6"/>
        <v>12251</v>
      </c>
      <c r="E102" s="817">
        <f t="shared" si="5"/>
        <v>0</v>
      </c>
      <c r="F102" s="817">
        <v>1558</v>
      </c>
      <c r="G102" s="817"/>
      <c r="H102" s="817">
        <v>3113</v>
      </c>
      <c r="I102" s="817"/>
      <c r="J102" s="817">
        <v>4300</v>
      </c>
      <c r="K102" s="817"/>
      <c r="L102" s="817">
        <v>3280</v>
      </c>
      <c r="M102" s="817"/>
      <c r="O102" s="853"/>
    </row>
    <row r="103" spans="1:15" x14ac:dyDescent="0.2">
      <c r="A103" s="181">
        <v>90</v>
      </c>
      <c r="B103" s="185" t="s">
        <v>246</v>
      </c>
      <c r="C103" s="186" t="s">
        <v>247</v>
      </c>
      <c r="D103" s="817">
        <f t="shared" si="6"/>
        <v>4184</v>
      </c>
      <c r="E103" s="817">
        <f t="shared" si="5"/>
        <v>20</v>
      </c>
      <c r="F103" s="817">
        <v>630</v>
      </c>
      <c r="G103" s="817"/>
      <c r="H103" s="817">
        <v>923</v>
      </c>
      <c r="I103" s="817"/>
      <c r="J103" s="817">
        <v>2106</v>
      </c>
      <c r="K103" s="817"/>
      <c r="L103" s="817">
        <v>505</v>
      </c>
      <c r="M103" s="817">
        <v>20</v>
      </c>
      <c r="O103" s="853"/>
    </row>
    <row r="104" spans="1:15" x14ac:dyDescent="0.2">
      <c r="A104" s="181">
        <v>91</v>
      </c>
      <c r="B104" s="187" t="s">
        <v>248</v>
      </c>
      <c r="C104" s="188" t="s">
        <v>249</v>
      </c>
      <c r="D104" s="817">
        <f t="shared" si="6"/>
        <v>7248</v>
      </c>
      <c r="E104" s="817">
        <f t="shared" si="5"/>
        <v>0</v>
      </c>
      <c r="F104" s="817">
        <v>1152</v>
      </c>
      <c r="G104" s="817"/>
      <c r="H104" s="817">
        <v>1964</v>
      </c>
      <c r="I104" s="817"/>
      <c r="J104" s="817">
        <v>3193</v>
      </c>
      <c r="K104" s="817"/>
      <c r="L104" s="817">
        <v>939</v>
      </c>
      <c r="M104" s="817"/>
      <c r="O104" s="853"/>
    </row>
    <row r="105" spans="1:15" x14ac:dyDescent="0.2">
      <c r="A105" s="181">
        <v>92</v>
      </c>
      <c r="B105" s="182" t="s">
        <v>250</v>
      </c>
      <c r="C105" s="183" t="s">
        <v>251</v>
      </c>
      <c r="D105" s="817">
        <f t="shared" si="6"/>
        <v>5819</v>
      </c>
      <c r="E105" s="817">
        <f t="shared" si="5"/>
        <v>30</v>
      </c>
      <c r="F105" s="817">
        <v>625</v>
      </c>
      <c r="G105" s="817"/>
      <c r="H105" s="817">
        <v>1698</v>
      </c>
      <c r="I105" s="817"/>
      <c r="J105" s="817">
        <v>2715</v>
      </c>
      <c r="K105" s="817"/>
      <c r="L105" s="817">
        <v>751</v>
      </c>
      <c r="M105" s="817">
        <v>30</v>
      </c>
      <c r="O105" s="853"/>
    </row>
    <row r="106" spans="1:15" x14ac:dyDescent="0.2">
      <c r="A106" s="181">
        <v>93</v>
      </c>
      <c r="B106" s="184" t="s">
        <v>32</v>
      </c>
      <c r="C106" s="183" t="s">
        <v>33</v>
      </c>
      <c r="D106" s="817">
        <f t="shared" si="6"/>
        <v>6350</v>
      </c>
      <c r="E106" s="817">
        <f t="shared" si="5"/>
        <v>10</v>
      </c>
      <c r="F106" s="817">
        <v>903</v>
      </c>
      <c r="G106" s="817"/>
      <c r="H106" s="817">
        <v>1936</v>
      </c>
      <c r="I106" s="817"/>
      <c r="J106" s="817">
        <v>3363</v>
      </c>
      <c r="K106" s="817"/>
      <c r="L106" s="817">
        <v>138</v>
      </c>
      <c r="M106" s="817">
        <v>10</v>
      </c>
      <c r="O106" s="853"/>
    </row>
    <row r="107" spans="1:15" x14ac:dyDescent="0.2">
      <c r="A107" s="181">
        <v>94</v>
      </c>
      <c r="B107" s="185" t="s">
        <v>252</v>
      </c>
      <c r="C107" s="186" t="s">
        <v>253</v>
      </c>
      <c r="D107" s="817">
        <f t="shared" si="6"/>
        <v>4010</v>
      </c>
      <c r="E107" s="817">
        <f t="shared" si="5"/>
        <v>13</v>
      </c>
      <c r="F107" s="817">
        <v>695</v>
      </c>
      <c r="G107" s="817"/>
      <c r="H107" s="817">
        <v>921</v>
      </c>
      <c r="I107" s="817"/>
      <c r="J107" s="817">
        <v>1870</v>
      </c>
      <c r="K107" s="817"/>
      <c r="L107" s="817">
        <v>511</v>
      </c>
      <c r="M107" s="817">
        <v>13</v>
      </c>
      <c r="O107" s="853"/>
    </row>
    <row r="108" spans="1:15" x14ac:dyDescent="0.2">
      <c r="A108" s="181">
        <v>95</v>
      </c>
      <c r="B108" s="185" t="s">
        <v>254</v>
      </c>
      <c r="C108" s="186" t="s">
        <v>255</v>
      </c>
      <c r="D108" s="817">
        <f t="shared" si="6"/>
        <v>7099</v>
      </c>
      <c r="E108" s="817">
        <f t="shared" si="5"/>
        <v>8</v>
      </c>
      <c r="F108" s="817">
        <v>1292</v>
      </c>
      <c r="G108" s="817"/>
      <c r="H108" s="817">
        <v>1285</v>
      </c>
      <c r="I108" s="817"/>
      <c r="J108" s="817">
        <v>3611</v>
      </c>
      <c r="K108" s="817"/>
      <c r="L108" s="817">
        <v>903</v>
      </c>
      <c r="M108" s="817">
        <v>8</v>
      </c>
      <c r="O108" s="853"/>
    </row>
    <row r="109" spans="1:15" x14ac:dyDescent="0.2">
      <c r="A109" s="181">
        <v>96</v>
      </c>
      <c r="B109" s="182" t="s">
        <v>256</v>
      </c>
      <c r="C109" s="183" t="s">
        <v>257</v>
      </c>
      <c r="D109" s="817">
        <f t="shared" si="6"/>
        <v>11880</v>
      </c>
      <c r="E109" s="817">
        <f t="shared" si="5"/>
        <v>6</v>
      </c>
      <c r="F109" s="817">
        <v>2009</v>
      </c>
      <c r="G109" s="817"/>
      <c r="H109" s="817">
        <v>2189</v>
      </c>
      <c r="I109" s="817"/>
      <c r="J109" s="817">
        <v>5871</v>
      </c>
      <c r="K109" s="817"/>
      <c r="L109" s="817">
        <v>1805</v>
      </c>
      <c r="M109" s="817">
        <v>6</v>
      </c>
      <c r="O109" s="853"/>
    </row>
    <row r="110" spans="1:15" x14ac:dyDescent="0.2">
      <c r="A110" s="181">
        <v>97</v>
      </c>
      <c r="B110" s="184" t="s">
        <v>76</v>
      </c>
      <c r="C110" s="183" t="s">
        <v>77</v>
      </c>
      <c r="D110" s="817">
        <f t="shared" si="6"/>
        <v>6837</v>
      </c>
      <c r="E110" s="817">
        <f t="shared" si="5"/>
        <v>5</v>
      </c>
      <c r="F110" s="817">
        <v>1053</v>
      </c>
      <c r="G110" s="817"/>
      <c r="H110" s="817">
        <v>1684</v>
      </c>
      <c r="I110" s="817"/>
      <c r="J110" s="817">
        <v>3723</v>
      </c>
      <c r="K110" s="817"/>
      <c r="L110" s="817">
        <v>372</v>
      </c>
      <c r="M110" s="817">
        <v>5</v>
      </c>
      <c r="O110" s="853"/>
    </row>
    <row r="111" spans="1:15" x14ac:dyDescent="0.2">
      <c r="A111" s="181">
        <v>98</v>
      </c>
      <c r="B111" s="182" t="s">
        <v>258</v>
      </c>
      <c r="C111" s="186" t="s">
        <v>259</v>
      </c>
      <c r="D111" s="817">
        <f t="shared" si="6"/>
        <v>0</v>
      </c>
      <c r="E111" s="817">
        <f t="shared" si="5"/>
        <v>0</v>
      </c>
      <c r="F111" s="817">
        <v>0</v>
      </c>
      <c r="G111" s="817"/>
      <c r="H111" s="817">
        <v>0</v>
      </c>
      <c r="I111" s="817"/>
      <c r="J111" s="817">
        <v>0</v>
      </c>
      <c r="K111" s="817"/>
      <c r="L111" s="817">
        <v>0</v>
      </c>
      <c r="M111" s="817"/>
      <c r="O111" s="853"/>
    </row>
    <row r="112" spans="1:15" x14ac:dyDescent="0.2">
      <c r="A112" s="181">
        <v>99</v>
      </c>
      <c r="B112" s="182" t="s">
        <v>260</v>
      </c>
      <c r="C112" s="183" t="s">
        <v>261</v>
      </c>
      <c r="D112" s="817">
        <f t="shared" si="6"/>
        <v>0</v>
      </c>
      <c r="E112" s="817">
        <f t="shared" si="5"/>
        <v>0</v>
      </c>
      <c r="F112" s="817">
        <v>0</v>
      </c>
      <c r="G112" s="817"/>
      <c r="H112" s="817">
        <v>0</v>
      </c>
      <c r="I112" s="817"/>
      <c r="J112" s="817">
        <v>0</v>
      </c>
      <c r="K112" s="817"/>
      <c r="L112" s="817">
        <v>0</v>
      </c>
      <c r="M112" s="817"/>
      <c r="O112" s="853"/>
    </row>
    <row r="113" spans="1:15" x14ac:dyDescent="0.2">
      <c r="A113" s="181">
        <v>100</v>
      </c>
      <c r="B113" s="185" t="s">
        <v>264</v>
      </c>
      <c r="C113" s="186" t="s">
        <v>265</v>
      </c>
      <c r="D113" s="817">
        <f t="shared" si="6"/>
        <v>0</v>
      </c>
      <c r="E113" s="817">
        <f t="shared" si="5"/>
        <v>0</v>
      </c>
      <c r="F113" s="817">
        <v>0</v>
      </c>
      <c r="G113" s="817"/>
      <c r="H113" s="817">
        <v>0</v>
      </c>
      <c r="I113" s="817"/>
      <c r="J113" s="817">
        <v>0</v>
      </c>
      <c r="K113" s="817"/>
      <c r="L113" s="817">
        <v>0</v>
      </c>
      <c r="M113" s="817"/>
      <c r="O113" s="853"/>
    </row>
    <row r="114" spans="1:15" x14ac:dyDescent="0.2">
      <c r="A114" s="181">
        <v>101</v>
      </c>
      <c r="B114" s="185" t="s">
        <v>266</v>
      </c>
      <c r="C114" s="186" t="s">
        <v>267</v>
      </c>
      <c r="D114" s="817">
        <f t="shared" si="6"/>
        <v>0</v>
      </c>
      <c r="E114" s="817">
        <f t="shared" si="5"/>
        <v>0</v>
      </c>
      <c r="F114" s="817">
        <v>0</v>
      </c>
      <c r="G114" s="817"/>
      <c r="H114" s="817">
        <v>0</v>
      </c>
      <c r="I114" s="817"/>
      <c r="J114" s="817">
        <v>0</v>
      </c>
      <c r="K114" s="817"/>
      <c r="L114" s="817">
        <v>0</v>
      </c>
      <c r="M114" s="817"/>
      <c r="O114" s="853"/>
    </row>
    <row r="115" spans="1:15" x14ac:dyDescent="0.2">
      <c r="A115" s="181">
        <v>102</v>
      </c>
      <c r="B115" s="185" t="s">
        <v>268</v>
      </c>
      <c r="C115" s="186" t="s">
        <v>269</v>
      </c>
      <c r="D115" s="817">
        <f t="shared" si="6"/>
        <v>0</v>
      </c>
      <c r="E115" s="817">
        <f t="shared" si="5"/>
        <v>0</v>
      </c>
      <c r="F115" s="817">
        <v>0</v>
      </c>
      <c r="G115" s="817"/>
      <c r="H115" s="817">
        <v>0</v>
      </c>
      <c r="I115" s="817"/>
      <c r="J115" s="817">
        <v>0</v>
      </c>
      <c r="K115" s="817"/>
      <c r="L115" s="817">
        <v>0</v>
      </c>
      <c r="M115" s="817"/>
      <c r="O115" s="853"/>
    </row>
    <row r="116" spans="1:15" x14ac:dyDescent="0.2">
      <c r="A116" s="181">
        <v>103</v>
      </c>
      <c r="B116" s="185" t="s">
        <v>270</v>
      </c>
      <c r="C116" s="186" t="s">
        <v>271</v>
      </c>
      <c r="D116" s="817">
        <f t="shared" si="6"/>
        <v>0</v>
      </c>
      <c r="E116" s="817">
        <f t="shared" si="5"/>
        <v>0</v>
      </c>
      <c r="F116" s="817">
        <v>0</v>
      </c>
      <c r="G116" s="817"/>
      <c r="H116" s="817">
        <v>0</v>
      </c>
      <c r="I116" s="817"/>
      <c r="J116" s="817">
        <v>0</v>
      </c>
      <c r="K116" s="817"/>
      <c r="L116" s="817">
        <v>0</v>
      </c>
      <c r="M116" s="817"/>
      <c r="O116" s="853"/>
    </row>
    <row r="117" spans="1:15" x14ac:dyDescent="0.2">
      <c r="A117" s="181">
        <v>104</v>
      </c>
      <c r="B117" s="185" t="s">
        <v>272</v>
      </c>
      <c r="C117" s="186" t="s">
        <v>273</v>
      </c>
      <c r="D117" s="817">
        <f t="shared" si="6"/>
        <v>0</v>
      </c>
      <c r="E117" s="817">
        <f t="shared" si="5"/>
        <v>0</v>
      </c>
      <c r="F117" s="817">
        <v>0</v>
      </c>
      <c r="G117" s="817"/>
      <c r="H117" s="817">
        <v>0</v>
      </c>
      <c r="I117" s="817"/>
      <c r="J117" s="817">
        <v>0</v>
      </c>
      <c r="K117" s="817"/>
      <c r="L117" s="817">
        <v>0</v>
      </c>
      <c r="M117" s="817"/>
      <c r="O117" s="853"/>
    </row>
    <row r="118" spans="1:15" x14ac:dyDescent="0.2">
      <c r="A118" s="181">
        <v>105</v>
      </c>
      <c r="B118" s="192" t="s">
        <v>274</v>
      </c>
      <c r="C118" s="193" t="s">
        <v>275</v>
      </c>
      <c r="D118" s="817">
        <f t="shared" si="6"/>
        <v>0</v>
      </c>
      <c r="E118" s="817">
        <f t="shared" si="5"/>
        <v>0</v>
      </c>
      <c r="F118" s="817">
        <v>0</v>
      </c>
      <c r="G118" s="817"/>
      <c r="H118" s="817">
        <v>0</v>
      </c>
      <c r="I118" s="817"/>
      <c r="J118" s="817">
        <v>0</v>
      </c>
      <c r="K118" s="817"/>
      <c r="L118" s="817">
        <v>0</v>
      </c>
      <c r="M118" s="817"/>
      <c r="O118" s="853"/>
    </row>
    <row r="119" spans="1:15" x14ac:dyDescent="0.2">
      <c r="A119" s="181">
        <v>106</v>
      </c>
      <c r="B119" s="184" t="s">
        <v>276</v>
      </c>
      <c r="C119" s="183" t="s">
        <v>277</v>
      </c>
      <c r="D119" s="817">
        <f t="shared" si="6"/>
        <v>0</v>
      </c>
      <c r="E119" s="817">
        <f t="shared" si="5"/>
        <v>0</v>
      </c>
      <c r="F119" s="817">
        <v>0</v>
      </c>
      <c r="G119" s="817"/>
      <c r="H119" s="817">
        <v>0</v>
      </c>
      <c r="I119" s="817"/>
      <c r="J119" s="817">
        <v>0</v>
      </c>
      <c r="K119" s="817"/>
      <c r="L119" s="817">
        <v>0</v>
      </c>
      <c r="M119" s="817"/>
      <c r="O119" s="853"/>
    </row>
    <row r="120" spans="1:15" x14ac:dyDescent="0.2">
      <c r="A120" s="181">
        <v>107</v>
      </c>
      <c r="B120" s="185" t="s">
        <v>278</v>
      </c>
      <c r="C120" s="186" t="s">
        <v>279</v>
      </c>
      <c r="D120" s="817">
        <f t="shared" si="6"/>
        <v>0</v>
      </c>
      <c r="E120" s="817">
        <f t="shared" si="5"/>
        <v>0</v>
      </c>
      <c r="F120" s="817">
        <v>0</v>
      </c>
      <c r="G120" s="817"/>
      <c r="H120" s="817">
        <v>0</v>
      </c>
      <c r="I120" s="817"/>
      <c r="J120" s="817">
        <v>0</v>
      </c>
      <c r="K120" s="817"/>
      <c r="L120" s="817">
        <v>0</v>
      </c>
      <c r="M120" s="817"/>
      <c r="O120" s="853"/>
    </row>
    <row r="121" spans="1:15" x14ac:dyDescent="0.2">
      <c r="A121" s="181">
        <v>108</v>
      </c>
      <c r="B121" s="182" t="s">
        <v>280</v>
      </c>
      <c r="C121" s="194" t="s">
        <v>281</v>
      </c>
      <c r="D121" s="817">
        <f t="shared" si="6"/>
        <v>0</v>
      </c>
      <c r="E121" s="817">
        <f t="shared" si="5"/>
        <v>0</v>
      </c>
      <c r="F121" s="817">
        <v>0</v>
      </c>
      <c r="G121" s="817"/>
      <c r="H121" s="817">
        <v>0</v>
      </c>
      <c r="I121" s="817"/>
      <c r="J121" s="817">
        <v>0</v>
      </c>
      <c r="K121" s="817"/>
      <c r="L121" s="817">
        <v>0</v>
      </c>
      <c r="M121" s="817"/>
      <c r="O121" s="853"/>
    </row>
    <row r="122" spans="1:15" x14ac:dyDescent="0.2">
      <c r="A122" s="181">
        <v>109</v>
      </c>
      <c r="B122" s="185" t="s">
        <v>282</v>
      </c>
      <c r="C122" s="188" t="s">
        <v>283</v>
      </c>
      <c r="D122" s="817">
        <f t="shared" si="6"/>
        <v>0</v>
      </c>
      <c r="E122" s="817">
        <f t="shared" si="5"/>
        <v>0</v>
      </c>
      <c r="F122" s="817">
        <v>0</v>
      </c>
      <c r="G122" s="817"/>
      <c r="H122" s="817">
        <v>0</v>
      </c>
      <c r="I122" s="817"/>
      <c r="J122" s="817">
        <v>0</v>
      </c>
      <c r="K122" s="817"/>
      <c r="L122" s="817">
        <v>0</v>
      </c>
      <c r="M122" s="817"/>
      <c r="O122" s="853"/>
    </row>
    <row r="123" spans="1:15" x14ac:dyDescent="0.2">
      <c r="A123" s="181">
        <v>110</v>
      </c>
      <c r="B123" s="184" t="s">
        <v>284</v>
      </c>
      <c r="C123" s="186" t="s">
        <v>378</v>
      </c>
      <c r="D123" s="817">
        <f t="shared" si="6"/>
        <v>0</v>
      </c>
      <c r="E123" s="817">
        <f t="shared" si="5"/>
        <v>0</v>
      </c>
      <c r="F123" s="817">
        <v>0</v>
      </c>
      <c r="G123" s="817"/>
      <c r="H123" s="817">
        <v>0</v>
      </c>
      <c r="I123" s="817"/>
      <c r="J123" s="817">
        <v>0</v>
      </c>
      <c r="K123" s="817"/>
      <c r="L123" s="817">
        <v>0</v>
      </c>
      <c r="M123" s="817"/>
      <c r="O123" s="853"/>
    </row>
    <row r="124" spans="1:15" x14ac:dyDescent="0.2">
      <c r="A124" s="181">
        <v>111</v>
      </c>
      <c r="B124" s="184" t="s">
        <v>780</v>
      </c>
      <c r="C124" s="186" t="s">
        <v>737</v>
      </c>
      <c r="D124" s="817">
        <f t="shared" si="6"/>
        <v>0</v>
      </c>
      <c r="E124" s="817">
        <f t="shared" si="5"/>
        <v>0</v>
      </c>
      <c r="F124" s="817">
        <v>0</v>
      </c>
      <c r="G124" s="817"/>
      <c r="H124" s="817">
        <v>0</v>
      </c>
      <c r="I124" s="817"/>
      <c r="J124" s="817">
        <v>0</v>
      </c>
      <c r="K124" s="817"/>
      <c r="L124" s="817">
        <v>0</v>
      </c>
      <c r="M124" s="817"/>
      <c r="O124" s="853"/>
    </row>
    <row r="125" spans="1:15" x14ac:dyDescent="0.2">
      <c r="A125" s="181">
        <v>112</v>
      </c>
      <c r="B125" s="184" t="s">
        <v>286</v>
      </c>
      <c r="C125" s="186" t="s">
        <v>287</v>
      </c>
      <c r="D125" s="817">
        <f t="shared" si="6"/>
        <v>0</v>
      </c>
      <c r="E125" s="817">
        <f t="shared" si="5"/>
        <v>0</v>
      </c>
      <c r="F125" s="817">
        <v>0</v>
      </c>
      <c r="G125" s="817"/>
      <c r="H125" s="817">
        <v>0</v>
      </c>
      <c r="I125" s="817"/>
      <c r="J125" s="817">
        <v>0</v>
      </c>
      <c r="K125" s="817"/>
      <c r="L125" s="817">
        <v>0</v>
      </c>
      <c r="M125" s="817"/>
      <c r="O125" s="853"/>
    </row>
    <row r="126" spans="1:15" x14ac:dyDescent="0.2">
      <c r="A126" s="181">
        <v>113</v>
      </c>
      <c r="B126" s="184" t="s">
        <v>288</v>
      </c>
      <c r="C126" s="216" t="s">
        <v>738</v>
      </c>
      <c r="D126" s="817">
        <f t="shared" si="6"/>
        <v>0</v>
      </c>
      <c r="E126" s="817">
        <f t="shared" si="5"/>
        <v>0</v>
      </c>
      <c r="F126" s="817">
        <v>0</v>
      </c>
      <c r="G126" s="817"/>
      <c r="H126" s="817">
        <v>0</v>
      </c>
      <c r="I126" s="817"/>
      <c r="J126" s="817">
        <v>0</v>
      </c>
      <c r="K126" s="817"/>
      <c r="L126" s="817">
        <v>0</v>
      </c>
      <c r="M126" s="817"/>
      <c r="O126" s="853"/>
    </row>
    <row r="127" spans="1:15" x14ac:dyDescent="0.2">
      <c r="A127" s="181">
        <v>114</v>
      </c>
      <c r="B127" s="185" t="s">
        <v>290</v>
      </c>
      <c r="C127" s="186" t="s">
        <v>291</v>
      </c>
      <c r="D127" s="817">
        <f t="shared" si="6"/>
        <v>0</v>
      </c>
      <c r="E127" s="817">
        <f t="shared" si="5"/>
        <v>0</v>
      </c>
      <c r="F127" s="817">
        <v>0</v>
      </c>
      <c r="G127" s="817"/>
      <c r="H127" s="817">
        <v>0</v>
      </c>
      <c r="I127" s="817"/>
      <c r="J127" s="817">
        <v>0</v>
      </c>
      <c r="K127" s="817"/>
      <c r="L127" s="817">
        <v>0</v>
      </c>
      <c r="M127" s="817"/>
      <c r="O127" s="853"/>
    </row>
    <row r="128" spans="1:15" x14ac:dyDescent="0.2">
      <c r="A128" s="181">
        <v>115</v>
      </c>
      <c r="B128" s="185" t="s">
        <v>292</v>
      </c>
      <c r="C128" s="820" t="s">
        <v>293</v>
      </c>
      <c r="D128" s="817">
        <f t="shared" si="6"/>
        <v>0</v>
      </c>
      <c r="E128" s="817">
        <f t="shared" si="5"/>
        <v>0</v>
      </c>
      <c r="F128" s="817">
        <v>0</v>
      </c>
      <c r="G128" s="817"/>
      <c r="H128" s="817">
        <v>0</v>
      </c>
      <c r="I128" s="817"/>
      <c r="J128" s="817">
        <v>0</v>
      </c>
      <c r="K128" s="817"/>
      <c r="L128" s="817">
        <v>0</v>
      </c>
      <c r="M128" s="817"/>
      <c r="O128" s="853"/>
    </row>
    <row r="129" spans="1:15" x14ac:dyDescent="0.2">
      <c r="A129" s="181">
        <v>116</v>
      </c>
      <c r="B129" s="185" t="s">
        <v>294</v>
      </c>
      <c r="C129" s="186" t="s">
        <v>295</v>
      </c>
      <c r="D129" s="817">
        <f t="shared" si="6"/>
        <v>0</v>
      </c>
      <c r="E129" s="817">
        <f t="shared" si="5"/>
        <v>0</v>
      </c>
      <c r="F129" s="817">
        <v>0</v>
      </c>
      <c r="G129" s="817"/>
      <c r="H129" s="817">
        <v>0</v>
      </c>
      <c r="I129" s="817"/>
      <c r="J129" s="817">
        <v>0</v>
      </c>
      <c r="K129" s="817"/>
      <c r="L129" s="817">
        <v>0</v>
      </c>
      <c r="M129" s="817"/>
      <c r="O129" s="853"/>
    </row>
    <row r="130" spans="1:15" x14ac:dyDescent="0.2">
      <c r="A130" s="181">
        <v>117</v>
      </c>
      <c r="B130" s="185" t="s">
        <v>70</v>
      </c>
      <c r="C130" s="186" t="s">
        <v>296</v>
      </c>
      <c r="D130" s="817">
        <f t="shared" si="6"/>
        <v>0</v>
      </c>
      <c r="E130" s="817">
        <f t="shared" si="5"/>
        <v>0</v>
      </c>
      <c r="F130" s="817">
        <v>0</v>
      </c>
      <c r="G130" s="817"/>
      <c r="H130" s="817">
        <v>0</v>
      </c>
      <c r="I130" s="817"/>
      <c r="J130" s="817">
        <v>0</v>
      </c>
      <c r="K130" s="817"/>
      <c r="L130" s="817">
        <v>0</v>
      </c>
      <c r="M130" s="817"/>
      <c r="O130" s="853"/>
    </row>
    <row r="131" spans="1:15" x14ac:dyDescent="0.2">
      <c r="A131" s="181">
        <v>118</v>
      </c>
      <c r="B131" s="185" t="s">
        <v>72</v>
      </c>
      <c r="C131" s="186" t="s">
        <v>73</v>
      </c>
      <c r="D131" s="817">
        <f t="shared" si="6"/>
        <v>0</v>
      </c>
      <c r="E131" s="817">
        <f t="shared" si="5"/>
        <v>0</v>
      </c>
      <c r="F131" s="817">
        <v>0</v>
      </c>
      <c r="G131" s="817"/>
      <c r="H131" s="817">
        <v>0</v>
      </c>
      <c r="I131" s="817"/>
      <c r="J131" s="817">
        <v>0</v>
      </c>
      <c r="K131" s="817"/>
      <c r="L131" s="817">
        <v>0</v>
      </c>
      <c r="M131" s="817"/>
      <c r="O131" s="853"/>
    </row>
    <row r="132" spans="1:15" x14ac:dyDescent="0.2">
      <c r="A132" s="181">
        <v>119</v>
      </c>
      <c r="B132" s="182" t="s">
        <v>34</v>
      </c>
      <c r="C132" s="183" t="s">
        <v>35</v>
      </c>
      <c r="D132" s="817">
        <f t="shared" si="6"/>
        <v>0</v>
      </c>
      <c r="E132" s="817">
        <f t="shared" si="5"/>
        <v>0</v>
      </c>
      <c r="F132" s="817">
        <v>0</v>
      </c>
      <c r="G132" s="817"/>
      <c r="H132" s="817">
        <v>0</v>
      </c>
      <c r="I132" s="817"/>
      <c r="J132" s="817">
        <v>0</v>
      </c>
      <c r="K132" s="817"/>
      <c r="L132" s="817">
        <v>0</v>
      </c>
      <c r="M132" s="817"/>
      <c r="O132" s="853"/>
    </row>
    <row r="133" spans="1:15" x14ac:dyDescent="0.2">
      <c r="A133" s="181">
        <v>120</v>
      </c>
      <c r="B133" s="182" t="s">
        <v>297</v>
      </c>
      <c r="C133" s="186" t="s">
        <v>298</v>
      </c>
      <c r="D133" s="817">
        <f t="shared" si="6"/>
        <v>0</v>
      </c>
      <c r="E133" s="817">
        <f t="shared" si="5"/>
        <v>0</v>
      </c>
      <c r="F133" s="817">
        <v>0</v>
      </c>
      <c r="G133" s="817"/>
      <c r="H133" s="817">
        <v>0</v>
      </c>
      <c r="I133" s="817"/>
      <c r="J133" s="817">
        <v>0</v>
      </c>
      <c r="K133" s="817"/>
      <c r="L133" s="817">
        <v>0</v>
      </c>
      <c r="M133" s="817"/>
      <c r="O133" s="853"/>
    </row>
    <row r="134" spans="1:15" x14ac:dyDescent="0.2">
      <c r="A134" s="181">
        <v>121</v>
      </c>
      <c r="B134" s="187" t="s">
        <v>299</v>
      </c>
      <c r="C134" s="188" t="s">
        <v>300</v>
      </c>
      <c r="D134" s="817">
        <f t="shared" si="6"/>
        <v>0</v>
      </c>
      <c r="E134" s="817">
        <f t="shared" si="5"/>
        <v>0</v>
      </c>
      <c r="F134" s="817">
        <v>0</v>
      </c>
      <c r="G134" s="817"/>
      <c r="H134" s="817">
        <v>0</v>
      </c>
      <c r="I134" s="817"/>
      <c r="J134" s="817">
        <v>0</v>
      </c>
      <c r="K134" s="817"/>
      <c r="L134" s="817">
        <v>0</v>
      </c>
      <c r="M134" s="817"/>
      <c r="O134" s="853"/>
    </row>
    <row r="135" spans="1:15" x14ac:dyDescent="0.2">
      <c r="A135" s="181">
        <v>122</v>
      </c>
      <c r="B135" s="185" t="s">
        <v>301</v>
      </c>
      <c r="C135" s="186" t="s">
        <v>302</v>
      </c>
      <c r="D135" s="817">
        <f t="shared" si="6"/>
        <v>0</v>
      </c>
      <c r="E135" s="817">
        <f t="shared" si="5"/>
        <v>0</v>
      </c>
      <c r="F135" s="817">
        <v>0</v>
      </c>
      <c r="G135" s="817"/>
      <c r="H135" s="817">
        <v>0</v>
      </c>
      <c r="I135" s="817"/>
      <c r="J135" s="817">
        <v>0</v>
      </c>
      <c r="K135" s="817"/>
      <c r="L135" s="817">
        <v>0</v>
      </c>
      <c r="M135" s="817"/>
      <c r="O135" s="853"/>
    </row>
    <row r="136" spans="1:15" x14ac:dyDescent="0.2">
      <c r="A136" s="181">
        <v>123</v>
      </c>
      <c r="B136" s="185" t="s">
        <v>16</v>
      </c>
      <c r="C136" s="186" t="s">
        <v>17</v>
      </c>
      <c r="D136" s="817">
        <f t="shared" si="6"/>
        <v>0</v>
      </c>
      <c r="E136" s="817">
        <f t="shared" si="5"/>
        <v>0</v>
      </c>
      <c r="F136" s="817">
        <v>0</v>
      </c>
      <c r="G136" s="817"/>
      <c r="H136" s="817">
        <v>0</v>
      </c>
      <c r="I136" s="817"/>
      <c r="J136" s="817">
        <v>0</v>
      </c>
      <c r="K136" s="817"/>
      <c r="L136" s="817">
        <v>0</v>
      </c>
      <c r="M136" s="817"/>
      <c r="O136" s="853"/>
    </row>
    <row r="137" spans="1:15" x14ac:dyDescent="0.2">
      <c r="A137" s="181">
        <v>124</v>
      </c>
      <c r="B137" s="185" t="s">
        <v>68</v>
      </c>
      <c r="C137" s="186" t="s">
        <v>69</v>
      </c>
      <c r="D137" s="817">
        <f t="shared" si="6"/>
        <v>0</v>
      </c>
      <c r="E137" s="817">
        <f t="shared" ref="E137:E148" si="7">G137+I137+K137+M137</f>
        <v>0</v>
      </c>
      <c r="F137" s="817">
        <v>0</v>
      </c>
      <c r="G137" s="817"/>
      <c r="H137" s="817">
        <v>0</v>
      </c>
      <c r="I137" s="817"/>
      <c r="J137" s="817">
        <v>0</v>
      </c>
      <c r="K137" s="817"/>
      <c r="L137" s="817">
        <v>0</v>
      </c>
      <c r="M137" s="817"/>
      <c r="O137" s="853"/>
    </row>
    <row r="138" spans="1:15" x14ac:dyDescent="0.2">
      <c r="A138" s="181">
        <v>125</v>
      </c>
      <c r="B138" s="187" t="s">
        <v>60</v>
      </c>
      <c r="C138" s="188" t="s">
        <v>303</v>
      </c>
      <c r="D138" s="817">
        <f t="shared" ref="D138:D148" si="8">SUM(F138:M138)</f>
        <v>19041</v>
      </c>
      <c r="E138" s="817">
        <f t="shared" si="7"/>
        <v>0</v>
      </c>
      <c r="F138" s="817">
        <v>5401</v>
      </c>
      <c r="G138" s="817"/>
      <c r="H138" s="817">
        <v>3613</v>
      </c>
      <c r="I138" s="817"/>
      <c r="J138" s="817">
        <v>9331</v>
      </c>
      <c r="K138" s="817"/>
      <c r="L138" s="817">
        <f>730-34</f>
        <v>696</v>
      </c>
      <c r="M138" s="817"/>
      <c r="O138" s="853"/>
    </row>
    <row r="139" spans="1:15" x14ac:dyDescent="0.2">
      <c r="A139" s="181">
        <v>126</v>
      </c>
      <c r="B139" s="184" t="s">
        <v>56</v>
      </c>
      <c r="C139" s="188" t="s">
        <v>304</v>
      </c>
      <c r="D139" s="817">
        <f t="shared" si="8"/>
        <v>22659</v>
      </c>
      <c r="E139" s="817">
        <f t="shared" si="7"/>
        <v>0</v>
      </c>
      <c r="F139" s="817">
        <v>5815</v>
      </c>
      <c r="G139" s="817"/>
      <c r="H139" s="817">
        <v>7667</v>
      </c>
      <c r="I139" s="817"/>
      <c r="J139" s="817">
        <v>8517</v>
      </c>
      <c r="K139" s="817"/>
      <c r="L139" s="817">
        <f>700-40</f>
        <v>660</v>
      </c>
      <c r="M139" s="817"/>
      <c r="O139" s="853"/>
    </row>
    <row r="140" spans="1:15" x14ac:dyDescent="0.2">
      <c r="A140" s="181">
        <v>127</v>
      </c>
      <c r="B140" s="185" t="s">
        <v>305</v>
      </c>
      <c r="C140" s="186" t="s">
        <v>306</v>
      </c>
      <c r="D140" s="817">
        <f t="shared" si="8"/>
        <v>0</v>
      </c>
      <c r="E140" s="817">
        <f t="shared" si="7"/>
        <v>0</v>
      </c>
      <c r="F140" s="817">
        <v>0</v>
      </c>
      <c r="G140" s="817"/>
      <c r="H140" s="817">
        <v>0</v>
      </c>
      <c r="I140" s="817"/>
      <c r="J140" s="817">
        <v>0</v>
      </c>
      <c r="K140" s="817"/>
      <c r="L140" s="817">
        <v>0</v>
      </c>
      <c r="M140" s="817"/>
      <c r="O140" s="853"/>
    </row>
    <row r="141" spans="1:15" x14ac:dyDescent="0.2">
      <c r="A141" s="181">
        <v>128</v>
      </c>
      <c r="B141" s="182" t="s">
        <v>307</v>
      </c>
      <c r="C141" s="183" t="s">
        <v>308</v>
      </c>
      <c r="D141" s="817">
        <f t="shared" si="8"/>
        <v>0</v>
      </c>
      <c r="E141" s="817">
        <f t="shared" si="7"/>
        <v>0</v>
      </c>
      <c r="F141" s="817">
        <v>0</v>
      </c>
      <c r="G141" s="817"/>
      <c r="H141" s="817">
        <v>0</v>
      </c>
      <c r="I141" s="817"/>
      <c r="J141" s="817">
        <v>0</v>
      </c>
      <c r="K141" s="817"/>
      <c r="L141" s="817">
        <v>0</v>
      </c>
      <c r="M141" s="817"/>
      <c r="O141" s="853"/>
    </row>
    <row r="142" spans="1:15" x14ac:dyDescent="0.2">
      <c r="A142" s="181">
        <v>129</v>
      </c>
      <c r="B142" s="185" t="s">
        <v>309</v>
      </c>
      <c r="C142" s="186" t="s">
        <v>310</v>
      </c>
      <c r="D142" s="817">
        <f t="shared" si="8"/>
        <v>0</v>
      </c>
      <c r="E142" s="817">
        <f t="shared" si="7"/>
        <v>0</v>
      </c>
      <c r="F142" s="817">
        <v>0</v>
      </c>
      <c r="G142" s="817"/>
      <c r="H142" s="817">
        <v>0</v>
      </c>
      <c r="I142" s="817"/>
      <c r="J142" s="817">
        <v>0</v>
      </c>
      <c r="K142" s="817"/>
      <c r="L142" s="817">
        <v>0</v>
      </c>
      <c r="M142" s="817"/>
      <c r="O142" s="853"/>
    </row>
    <row r="143" spans="1:15" x14ac:dyDescent="0.2">
      <c r="A143" s="181">
        <v>130</v>
      </c>
      <c r="B143" s="195" t="s">
        <v>311</v>
      </c>
      <c r="C143" s="196" t="s">
        <v>312</v>
      </c>
      <c r="D143" s="817">
        <f t="shared" si="8"/>
        <v>0</v>
      </c>
      <c r="E143" s="817">
        <f t="shared" si="7"/>
        <v>0</v>
      </c>
      <c r="F143" s="817">
        <v>0</v>
      </c>
      <c r="G143" s="817"/>
      <c r="H143" s="817">
        <v>0</v>
      </c>
      <c r="I143" s="817"/>
      <c r="J143" s="817">
        <v>0</v>
      </c>
      <c r="K143" s="817"/>
      <c r="L143" s="817">
        <v>0</v>
      </c>
      <c r="M143" s="817"/>
      <c r="O143" s="853"/>
    </row>
    <row r="144" spans="1:15" x14ac:dyDescent="0.2">
      <c r="A144" s="181">
        <v>131</v>
      </c>
      <c r="B144" s="197" t="s">
        <v>313</v>
      </c>
      <c r="C144" s="198" t="s">
        <v>314</v>
      </c>
      <c r="D144" s="817">
        <f t="shared" si="8"/>
        <v>0</v>
      </c>
      <c r="E144" s="817">
        <f t="shared" si="7"/>
        <v>0</v>
      </c>
      <c r="F144" s="817">
        <v>0</v>
      </c>
      <c r="G144" s="817"/>
      <c r="H144" s="817">
        <v>0</v>
      </c>
      <c r="I144" s="817"/>
      <c r="J144" s="817">
        <v>0</v>
      </c>
      <c r="K144" s="817"/>
      <c r="L144" s="817">
        <v>0</v>
      </c>
      <c r="M144" s="817"/>
      <c r="O144" s="853"/>
    </row>
    <row r="145" spans="1:15" x14ac:dyDescent="0.2">
      <c r="A145" s="181">
        <v>132</v>
      </c>
      <c r="B145" s="199" t="s">
        <v>315</v>
      </c>
      <c r="C145" s="200" t="s">
        <v>316</v>
      </c>
      <c r="D145" s="817">
        <f t="shared" si="8"/>
        <v>0</v>
      </c>
      <c r="E145" s="817">
        <f t="shared" si="7"/>
        <v>0</v>
      </c>
      <c r="F145" s="817">
        <v>0</v>
      </c>
      <c r="G145" s="817"/>
      <c r="H145" s="817">
        <v>0</v>
      </c>
      <c r="I145" s="817"/>
      <c r="J145" s="817">
        <v>0</v>
      </c>
      <c r="K145" s="817"/>
      <c r="L145" s="817">
        <v>0</v>
      </c>
      <c r="M145" s="817"/>
      <c r="O145" s="853"/>
    </row>
    <row r="146" spans="1:15" x14ac:dyDescent="0.2">
      <c r="A146" s="181">
        <v>133</v>
      </c>
      <c r="B146" s="181" t="s">
        <v>317</v>
      </c>
      <c r="C146" s="201" t="s">
        <v>318</v>
      </c>
      <c r="D146" s="817">
        <f t="shared" si="8"/>
        <v>0</v>
      </c>
      <c r="E146" s="817">
        <f t="shared" si="7"/>
        <v>0</v>
      </c>
      <c r="F146" s="817">
        <v>0</v>
      </c>
      <c r="G146" s="817"/>
      <c r="H146" s="817">
        <v>0</v>
      </c>
      <c r="I146" s="817"/>
      <c r="J146" s="817">
        <v>0</v>
      </c>
      <c r="K146" s="817"/>
      <c r="L146" s="817">
        <v>0</v>
      </c>
      <c r="M146" s="817"/>
      <c r="O146" s="853"/>
    </row>
    <row r="147" spans="1:15" x14ac:dyDescent="0.2">
      <c r="A147" s="181">
        <v>134</v>
      </c>
      <c r="B147" s="202" t="s">
        <v>319</v>
      </c>
      <c r="C147" s="203" t="s">
        <v>320</v>
      </c>
      <c r="D147" s="817">
        <f t="shared" si="8"/>
        <v>0</v>
      </c>
      <c r="E147" s="817">
        <f t="shared" si="7"/>
        <v>0</v>
      </c>
      <c r="F147" s="817">
        <v>0</v>
      </c>
      <c r="G147" s="817"/>
      <c r="H147" s="817">
        <v>0</v>
      </c>
      <c r="I147" s="817"/>
      <c r="J147" s="817">
        <v>0</v>
      </c>
      <c r="K147" s="817"/>
      <c r="L147" s="817">
        <v>0</v>
      </c>
      <c r="M147" s="817"/>
      <c r="O147" s="853"/>
    </row>
    <row r="148" spans="1:15" x14ac:dyDescent="0.2">
      <c r="A148" s="181">
        <v>135</v>
      </c>
      <c r="B148" s="821" t="s">
        <v>728</v>
      </c>
      <c r="C148" s="822" t="s">
        <v>729</v>
      </c>
      <c r="D148" s="817">
        <f t="shared" si="8"/>
        <v>0</v>
      </c>
      <c r="E148" s="817">
        <f t="shared" si="7"/>
        <v>0</v>
      </c>
      <c r="F148" s="817">
        <v>0</v>
      </c>
      <c r="G148" s="823"/>
      <c r="H148" s="817">
        <v>0</v>
      </c>
      <c r="I148" s="823"/>
      <c r="J148" s="817">
        <v>0</v>
      </c>
      <c r="K148" s="823"/>
      <c r="L148" s="817">
        <v>0</v>
      </c>
      <c r="M148" s="823"/>
      <c r="O148" s="853"/>
    </row>
  </sheetData>
  <mergeCells count="17">
    <mergeCell ref="A1:L1"/>
    <mergeCell ref="A3:A6"/>
    <mergeCell ref="B3:B6"/>
    <mergeCell ref="C3:C6"/>
    <mergeCell ref="D3:M3"/>
    <mergeCell ref="D4:D6"/>
    <mergeCell ref="F4:M4"/>
    <mergeCell ref="E5:E6"/>
    <mergeCell ref="F5:G5"/>
    <mergeCell ref="H5:I5"/>
    <mergeCell ref="J5:K5"/>
    <mergeCell ref="L5:M5"/>
    <mergeCell ref="A8:C8"/>
    <mergeCell ref="A9:C9"/>
    <mergeCell ref="A10:C10"/>
    <mergeCell ref="A89:A92"/>
    <mergeCell ref="B89:B92"/>
  </mergeCells>
  <pageMargins left="0.31496062992125984" right="0.31496062992125984" top="0.35433070866141736" bottom="0.35433070866141736" header="0.31496062992125984" footer="0.31496062992125984"/>
  <pageSetup paperSize="9" scale="65" fitToHeight="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98"/>
  <sheetViews>
    <sheetView topLeftCell="A76" workbookViewId="0">
      <selection activeCell="D86" sqref="D86"/>
    </sheetView>
  </sheetViews>
  <sheetFormatPr defaultRowHeight="18.75" x14ac:dyDescent="0.3"/>
  <cols>
    <col min="1" max="1" width="4.85546875" style="433" customWidth="1"/>
    <col min="2" max="2" width="10.7109375" style="433" customWidth="1"/>
    <col min="3" max="3" width="40" style="433" customWidth="1"/>
    <col min="4" max="4" width="13.42578125" style="433" customWidth="1"/>
    <col min="5" max="5" width="14.85546875" style="433" customWidth="1"/>
    <col min="6" max="6" width="13.42578125" style="433" customWidth="1"/>
    <col min="7" max="16384" width="9.140625" style="433"/>
  </cols>
  <sheetData>
    <row r="1" spans="1:6" x14ac:dyDescent="0.3">
      <c r="A1" s="1177" t="s">
        <v>590</v>
      </c>
      <c r="B1" s="1177"/>
      <c r="C1" s="1177"/>
      <c r="D1" s="1177"/>
      <c r="E1" s="1177"/>
      <c r="F1" s="1177"/>
    </row>
    <row r="2" spans="1:6" ht="18.75" customHeight="1" x14ac:dyDescent="0.3">
      <c r="A2" s="1177"/>
      <c r="B2" s="1177"/>
      <c r="C2" s="1177"/>
      <c r="D2" s="1177"/>
      <c r="E2" s="1177"/>
      <c r="F2" s="1177"/>
    </row>
    <row r="3" spans="1:6" x14ac:dyDescent="0.3">
      <c r="A3" s="443"/>
      <c r="B3" s="443"/>
      <c r="C3" s="443"/>
      <c r="D3" s="443"/>
      <c r="E3" s="443"/>
      <c r="F3" s="443"/>
    </row>
    <row r="4" spans="1:6" x14ac:dyDescent="0.3">
      <c r="A4" s="1178" t="s">
        <v>0</v>
      </c>
      <c r="B4" s="1178" t="s">
        <v>1</v>
      </c>
      <c r="C4" s="1180" t="s">
        <v>589</v>
      </c>
      <c r="D4" s="1178" t="s">
        <v>588</v>
      </c>
      <c r="E4" s="1178" t="s">
        <v>587</v>
      </c>
      <c r="F4" s="1178"/>
    </row>
    <row r="5" spans="1:6" ht="33.75" x14ac:dyDescent="0.3">
      <c r="A5" s="1178"/>
      <c r="B5" s="1178"/>
      <c r="C5" s="1180"/>
      <c r="D5" s="1178"/>
      <c r="E5" s="437" t="s">
        <v>586</v>
      </c>
      <c r="F5" s="437" t="s">
        <v>585</v>
      </c>
    </row>
    <row r="6" spans="1:6" x14ac:dyDescent="0.3">
      <c r="A6" s="442">
        <v>1</v>
      </c>
      <c r="B6" s="442">
        <v>2</v>
      </c>
      <c r="C6" s="442">
        <v>3</v>
      </c>
      <c r="D6" s="441">
        <v>4</v>
      </c>
      <c r="E6" s="441">
        <v>5</v>
      </c>
      <c r="F6" s="441">
        <v>6</v>
      </c>
    </row>
    <row r="7" spans="1:6" x14ac:dyDescent="0.3">
      <c r="A7" s="437">
        <v>1</v>
      </c>
      <c r="B7" s="440" t="s">
        <v>133</v>
      </c>
      <c r="C7" s="439" t="s">
        <v>134</v>
      </c>
      <c r="D7" s="438">
        <v>20995</v>
      </c>
      <c r="E7" s="438">
        <v>0</v>
      </c>
      <c r="F7" s="438">
        <v>0</v>
      </c>
    </row>
    <row r="8" spans="1:6" x14ac:dyDescent="0.3">
      <c r="A8" s="437">
        <v>2</v>
      </c>
      <c r="B8" s="440" t="s">
        <v>183</v>
      </c>
      <c r="C8" s="439" t="s">
        <v>184</v>
      </c>
      <c r="D8" s="438">
        <v>19283</v>
      </c>
      <c r="E8" s="438">
        <v>0</v>
      </c>
      <c r="F8" s="438">
        <v>0</v>
      </c>
    </row>
    <row r="9" spans="1:6" x14ac:dyDescent="0.3">
      <c r="A9" s="437">
        <v>3</v>
      </c>
      <c r="B9" s="440" t="s">
        <v>38</v>
      </c>
      <c r="C9" s="439" t="s">
        <v>39</v>
      </c>
      <c r="D9" s="438">
        <v>8689</v>
      </c>
      <c r="E9" s="438">
        <v>0</v>
      </c>
      <c r="F9" s="438">
        <v>0</v>
      </c>
    </row>
    <row r="10" spans="1:6" x14ac:dyDescent="0.3">
      <c r="A10" s="437">
        <v>4</v>
      </c>
      <c r="B10" s="440" t="s">
        <v>109</v>
      </c>
      <c r="C10" s="439" t="s">
        <v>110</v>
      </c>
      <c r="D10" s="438">
        <v>9492</v>
      </c>
      <c r="E10" s="438">
        <v>0</v>
      </c>
      <c r="F10" s="438">
        <v>0</v>
      </c>
    </row>
    <row r="11" spans="1:6" x14ac:dyDescent="0.3">
      <c r="A11" s="437">
        <v>5</v>
      </c>
      <c r="B11" s="440" t="s">
        <v>86</v>
      </c>
      <c r="C11" s="439" t="s">
        <v>87</v>
      </c>
      <c r="D11" s="438">
        <v>15812</v>
      </c>
      <c r="E11" s="438">
        <v>0</v>
      </c>
      <c r="F11" s="438">
        <v>0</v>
      </c>
    </row>
    <row r="12" spans="1:6" x14ac:dyDescent="0.3">
      <c r="A12" s="437">
        <v>6</v>
      </c>
      <c r="B12" s="440" t="s">
        <v>135</v>
      </c>
      <c r="C12" s="439" t="s">
        <v>136</v>
      </c>
      <c r="D12" s="438">
        <v>27981</v>
      </c>
      <c r="E12" s="438">
        <v>0</v>
      </c>
      <c r="F12" s="438">
        <v>0</v>
      </c>
    </row>
    <row r="13" spans="1:6" x14ac:dyDescent="0.3">
      <c r="A13" s="437">
        <v>7</v>
      </c>
      <c r="B13" s="440" t="s">
        <v>78</v>
      </c>
      <c r="C13" s="439" t="s">
        <v>79</v>
      </c>
      <c r="D13" s="438">
        <v>13130</v>
      </c>
      <c r="E13" s="438">
        <v>0</v>
      </c>
      <c r="F13" s="438">
        <v>0</v>
      </c>
    </row>
    <row r="14" spans="1:6" x14ac:dyDescent="0.3">
      <c r="A14" s="437">
        <v>8</v>
      </c>
      <c r="B14" s="440" t="s">
        <v>111</v>
      </c>
      <c r="C14" s="439" t="s">
        <v>112</v>
      </c>
      <c r="D14" s="438">
        <v>9565</v>
      </c>
      <c r="E14" s="438">
        <v>0</v>
      </c>
      <c r="F14" s="438">
        <v>0</v>
      </c>
    </row>
    <row r="15" spans="1:6" x14ac:dyDescent="0.3">
      <c r="A15" s="437">
        <v>9</v>
      </c>
      <c r="B15" s="440" t="s">
        <v>173</v>
      </c>
      <c r="C15" s="439" t="s">
        <v>174</v>
      </c>
      <c r="D15" s="438">
        <v>44321</v>
      </c>
      <c r="E15" s="438">
        <v>0</v>
      </c>
      <c r="F15" s="438">
        <v>0</v>
      </c>
    </row>
    <row r="16" spans="1:6" x14ac:dyDescent="0.3">
      <c r="A16" s="437">
        <v>10</v>
      </c>
      <c r="B16" s="440" t="s">
        <v>40</v>
      </c>
      <c r="C16" s="439" t="s">
        <v>41</v>
      </c>
      <c r="D16" s="438">
        <v>8970</v>
      </c>
      <c r="E16" s="438">
        <v>0</v>
      </c>
      <c r="F16" s="438">
        <v>0</v>
      </c>
    </row>
    <row r="17" spans="1:6" x14ac:dyDescent="0.3">
      <c r="A17" s="437">
        <v>11</v>
      </c>
      <c r="B17" s="440" t="s">
        <v>30</v>
      </c>
      <c r="C17" s="439" t="s">
        <v>31</v>
      </c>
      <c r="D17" s="438">
        <v>51661</v>
      </c>
      <c r="E17" s="438">
        <v>0</v>
      </c>
      <c r="F17" s="438">
        <v>0</v>
      </c>
    </row>
    <row r="18" spans="1:6" x14ac:dyDescent="0.3">
      <c r="A18" s="437">
        <v>12</v>
      </c>
      <c r="B18" s="440" t="s">
        <v>175</v>
      </c>
      <c r="C18" s="439" t="s">
        <v>176</v>
      </c>
      <c r="D18" s="438">
        <v>9796</v>
      </c>
      <c r="E18" s="438">
        <v>0</v>
      </c>
      <c r="F18" s="438">
        <v>0</v>
      </c>
    </row>
    <row r="19" spans="1:6" x14ac:dyDescent="0.3">
      <c r="A19" s="437">
        <v>13</v>
      </c>
      <c r="B19" s="440" t="s">
        <v>80</v>
      </c>
      <c r="C19" s="439" t="s">
        <v>81</v>
      </c>
      <c r="D19" s="438">
        <v>29671</v>
      </c>
      <c r="E19" s="438">
        <v>0</v>
      </c>
      <c r="F19" s="438">
        <v>0</v>
      </c>
    </row>
    <row r="20" spans="1:6" x14ac:dyDescent="0.3">
      <c r="A20" s="437">
        <v>14</v>
      </c>
      <c r="B20" s="440" t="s">
        <v>76</v>
      </c>
      <c r="C20" s="439" t="s">
        <v>77</v>
      </c>
      <c r="D20" s="438">
        <v>10981</v>
      </c>
      <c r="E20" s="438">
        <v>0</v>
      </c>
      <c r="F20" s="438">
        <v>0</v>
      </c>
    </row>
    <row r="21" spans="1:6" x14ac:dyDescent="0.3">
      <c r="A21" s="437">
        <v>15</v>
      </c>
      <c r="B21" s="440" t="s">
        <v>238</v>
      </c>
      <c r="C21" s="439" t="s">
        <v>239</v>
      </c>
      <c r="D21" s="438">
        <v>25258</v>
      </c>
      <c r="E21" s="438">
        <v>0</v>
      </c>
      <c r="F21" s="438">
        <v>0</v>
      </c>
    </row>
    <row r="22" spans="1:6" x14ac:dyDescent="0.3">
      <c r="A22" s="437">
        <v>16</v>
      </c>
      <c r="B22" s="440" t="s">
        <v>88</v>
      </c>
      <c r="C22" s="439" t="s">
        <v>89</v>
      </c>
      <c r="D22" s="438">
        <v>13066</v>
      </c>
      <c r="E22" s="438">
        <v>0</v>
      </c>
      <c r="F22" s="438">
        <v>0</v>
      </c>
    </row>
    <row r="23" spans="1:6" x14ac:dyDescent="0.3">
      <c r="A23" s="437">
        <v>17</v>
      </c>
      <c r="B23" s="440" t="s">
        <v>113</v>
      </c>
      <c r="C23" s="439" t="s">
        <v>114</v>
      </c>
      <c r="D23" s="438">
        <v>10202</v>
      </c>
      <c r="E23" s="438">
        <v>0</v>
      </c>
      <c r="F23" s="438">
        <v>0</v>
      </c>
    </row>
    <row r="24" spans="1:6" x14ac:dyDescent="0.3">
      <c r="A24" s="437">
        <v>18</v>
      </c>
      <c r="B24" s="440" t="s">
        <v>137</v>
      </c>
      <c r="C24" s="439" t="s">
        <v>138</v>
      </c>
      <c r="D24" s="438">
        <v>8967</v>
      </c>
      <c r="E24" s="438">
        <v>0</v>
      </c>
      <c r="F24" s="438">
        <v>0</v>
      </c>
    </row>
    <row r="25" spans="1:6" x14ac:dyDescent="0.3">
      <c r="A25" s="437">
        <v>19</v>
      </c>
      <c r="B25" s="440" t="s">
        <v>161</v>
      </c>
      <c r="C25" s="439" t="s">
        <v>162</v>
      </c>
      <c r="D25" s="438">
        <v>16165</v>
      </c>
      <c r="E25" s="438">
        <v>0</v>
      </c>
      <c r="F25" s="438">
        <v>0</v>
      </c>
    </row>
    <row r="26" spans="1:6" x14ac:dyDescent="0.3">
      <c r="A26" s="437">
        <v>20</v>
      </c>
      <c r="B26" s="440" t="s">
        <v>177</v>
      </c>
      <c r="C26" s="439" t="s">
        <v>178</v>
      </c>
      <c r="D26" s="438">
        <v>18692</v>
      </c>
      <c r="E26" s="438">
        <v>0</v>
      </c>
      <c r="F26" s="438">
        <v>0</v>
      </c>
    </row>
    <row r="27" spans="1:6" x14ac:dyDescent="0.3">
      <c r="A27" s="437">
        <v>21</v>
      </c>
      <c r="B27" s="440" t="s">
        <v>32</v>
      </c>
      <c r="C27" s="439" t="s">
        <v>33</v>
      </c>
      <c r="D27" s="438">
        <v>14900</v>
      </c>
      <c r="E27" s="438">
        <v>0</v>
      </c>
      <c r="F27" s="438">
        <v>0</v>
      </c>
    </row>
    <row r="28" spans="1:6" x14ac:dyDescent="0.3">
      <c r="A28" s="437">
        <v>22</v>
      </c>
      <c r="B28" s="440" t="s">
        <v>20</v>
      </c>
      <c r="C28" s="439" t="s">
        <v>21</v>
      </c>
      <c r="D28" s="438">
        <v>29529</v>
      </c>
      <c r="E28" s="438">
        <v>0</v>
      </c>
      <c r="F28" s="438">
        <v>0</v>
      </c>
    </row>
    <row r="29" spans="1:6" x14ac:dyDescent="0.3">
      <c r="A29" s="437">
        <v>23</v>
      </c>
      <c r="B29" s="440" t="s">
        <v>179</v>
      </c>
      <c r="C29" s="439" t="s">
        <v>180</v>
      </c>
      <c r="D29" s="438">
        <v>6173</v>
      </c>
      <c r="E29" s="438">
        <v>0</v>
      </c>
      <c r="F29" s="438">
        <v>0</v>
      </c>
    </row>
    <row r="30" spans="1:6" x14ac:dyDescent="0.3">
      <c r="A30" s="437">
        <v>24</v>
      </c>
      <c r="B30" s="440" t="s">
        <v>159</v>
      </c>
      <c r="C30" s="439" t="s">
        <v>160</v>
      </c>
      <c r="D30" s="438">
        <v>12303</v>
      </c>
      <c r="E30" s="438">
        <v>0</v>
      </c>
      <c r="F30" s="438">
        <v>0</v>
      </c>
    </row>
    <row r="31" spans="1:6" x14ac:dyDescent="0.3">
      <c r="A31" s="437">
        <v>25</v>
      </c>
      <c r="B31" s="440" t="s">
        <v>139</v>
      </c>
      <c r="C31" s="439" t="s">
        <v>140</v>
      </c>
      <c r="D31" s="438">
        <v>6766</v>
      </c>
      <c r="E31" s="438">
        <v>0</v>
      </c>
      <c r="F31" s="438">
        <v>0</v>
      </c>
    </row>
    <row r="32" spans="1:6" x14ac:dyDescent="0.3">
      <c r="A32" s="437">
        <v>26</v>
      </c>
      <c r="B32" s="440" t="s">
        <v>242</v>
      </c>
      <c r="C32" s="439" t="s">
        <v>243</v>
      </c>
      <c r="D32" s="438">
        <v>30961</v>
      </c>
      <c r="E32" s="438">
        <v>0</v>
      </c>
      <c r="F32" s="438">
        <v>0</v>
      </c>
    </row>
    <row r="33" spans="1:6" x14ac:dyDescent="0.3">
      <c r="A33" s="437">
        <v>27</v>
      </c>
      <c r="B33" s="440" t="s">
        <v>42</v>
      </c>
      <c r="C33" s="439" t="s">
        <v>43</v>
      </c>
      <c r="D33" s="438">
        <v>15726</v>
      </c>
      <c r="E33" s="438">
        <v>0</v>
      </c>
      <c r="F33" s="438">
        <v>0</v>
      </c>
    </row>
    <row r="34" spans="1:6" x14ac:dyDescent="0.3">
      <c r="A34" s="437">
        <v>28</v>
      </c>
      <c r="B34" s="440" t="s">
        <v>58</v>
      </c>
      <c r="C34" s="439" t="s">
        <v>59</v>
      </c>
      <c r="D34" s="438">
        <v>43358</v>
      </c>
      <c r="E34" s="438">
        <v>0</v>
      </c>
      <c r="F34" s="438">
        <v>0</v>
      </c>
    </row>
    <row r="35" spans="1:6" x14ac:dyDescent="0.3">
      <c r="A35" s="437">
        <v>29</v>
      </c>
      <c r="B35" s="440" t="s">
        <v>119</v>
      </c>
      <c r="C35" s="439" t="s">
        <v>120</v>
      </c>
      <c r="D35" s="438">
        <v>12135</v>
      </c>
      <c r="E35" s="438">
        <v>0</v>
      </c>
      <c r="F35" s="438">
        <v>0</v>
      </c>
    </row>
    <row r="36" spans="1:6" x14ac:dyDescent="0.3">
      <c r="A36" s="437">
        <v>30</v>
      </c>
      <c r="B36" s="440" t="s">
        <v>121</v>
      </c>
      <c r="C36" s="439" t="s">
        <v>122</v>
      </c>
      <c r="D36" s="438">
        <v>10698</v>
      </c>
      <c r="E36" s="438">
        <v>0</v>
      </c>
      <c r="F36" s="438">
        <v>0</v>
      </c>
    </row>
    <row r="37" spans="1:6" x14ac:dyDescent="0.3">
      <c r="A37" s="437">
        <v>31</v>
      </c>
      <c r="B37" s="440" t="s">
        <v>244</v>
      </c>
      <c r="C37" s="439" t="s">
        <v>245</v>
      </c>
      <c r="D37" s="438">
        <v>23396</v>
      </c>
      <c r="E37" s="438">
        <v>0</v>
      </c>
      <c r="F37" s="438">
        <v>0</v>
      </c>
    </row>
    <row r="38" spans="1:6" x14ac:dyDescent="0.3">
      <c r="A38" s="437">
        <v>32</v>
      </c>
      <c r="B38" s="440" t="s">
        <v>246</v>
      </c>
      <c r="C38" s="439" t="s">
        <v>247</v>
      </c>
      <c r="D38" s="438">
        <v>8138</v>
      </c>
      <c r="E38" s="438">
        <v>0</v>
      </c>
      <c r="F38" s="438">
        <v>0</v>
      </c>
    </row>
    <row r="39" spans="1:6" x14ac:dyDescent="0.3">
      <c r="A39" s="437">
        <v>33</v>
      </c>
      <c r="B39" s="440" t="s">
        <v>123</v>
      </c>
      <c r="C39" s="439" t="s">
        <v>124</v>
      </c>
      <c r="D39" s="438">
        <v>14178</v>
      </c>
      <c r="E39" s="438">
        <v>0</v>
      </c>
      <c r="F39" s="438">
        <v>0</v>
      </c>
    </row>
    <row r="40" spans="1:6" x14ac:dyDescent="0.3">
      <c r="A40" s="437">
        <v>34</v>
      </c>
      <c r="B40" s="440" t="s">
        <v>163</v>
      </c>
      <c r="C40" s="439" t="s">
        <v>164</v>
      </c>
      <c r="D40" s="438">
        <v>14529</v>
      </c>
      <c r="E40" s="438">
        <v>0</v>
      </c>
      <c r="F40" s="438">
        <v>0</v>
      </c>
    </row>
    <row r="41" spans="1:6" x14ac:dyDescent="0.3">
      <c r="A41" s="437">
        <v>35</v>
      </c>
      <c r="B41" s="440" t="s">
        <v>248</v>
      </c>
      <c r="C41" s="439" t="s">
        <v>249</v>
      </c>
      <c r="D41" s="438">
        <v>12688</v>
      </c>
      <c r="E41" s="438">
        <v>0</v>
      </c>
      <c r="F41" s="438">
        <v>0</v>
      </c>
    </row>
    <row r="42" spans="1:6" x14ac:dyDescent="0.3">
      <c r="A42" s="437">
        <v>36</v>
      </c>
      <c r="B42" s="440" t="s">
        <v>157</v>
      </c>
      <c r="C42" s="439" t="s">
        <v>158</v>
      </c>
      <c r="D42" s="438">
        <v>42101</v>
      </c>
      <c r="E42" s="438">
        <v>0</v>
      </c>
      <c r="F42" s="438">
        <v>0</v>
      </c>
    </row>
    <row r="43" spans="1:6" x14ac:dyDescent="0.3">
      <c r="A43" s="437">
        <v>37</v>
      </c>
      <c r="B43" s="440" t="s">
        <v>82</v>
      </c>
      <c r="C43" s="439" t="s">
        <v>83</v>
      </c>
      <c r="D43" s="438">
        <v>42017</v>
      </c>
      <c r="E43" s="438">
        <v>0</v>
      </c>
      <c r="F43" s="438">
        <v>0</v>
      </c>
    </row>
    <row r="44" spans="1:6" x14ac:dyDescent="0.3">
      <c r="A44" s="437">
        <v>38</v>
      </c>
      <c r="B44" s="440" t="s">
        <v>240</v>
      </c>
      <c r="C44" s="439" t="s">
        <v>241</v>
      </c>
      <c r="D44" s="438">
        <v>10701</v>
      </c>
      <c r="E44" s="438">
        <v>0</v>
      </c>
      <c r="F44" s="438">
        <v>0</v>
      </c>
    </row>
    <row r="45" spans="1:6" x14ac:dyDescent="0.3">
      <c r="A45" s="437">
        <v>39</v>
      </c>
      <c r="B45" s="440" t="s">
        <v>125</v>
      </c>
      <c r="C45" s="439" t="s">
        <v>126</v>
      </c>
      <c r="D45" s="438">
        <v>11009</v>
      </c>
      <c r="E45" s="438">
        <v>0</v>
      </c>
      <c r="F45" s="438">
        <v>0</v>
      </c>
    </row>
    <row r="46" spans="1:6" x14ac:dyDescent="0.3">
      <c r="A46" s="437">
        <v>40</v>
      </c>
      <c r="B46" s="440" t="s">
        <v>181</v>
      </c>
      <c r="C46" s="439" t="s">
        <v>182</v>
      </c>
      <c r="D46" s="438">
        <v>12474</v>
      </c>
      <c r="E46" s="438">
        <v>0</v>
      </c>
      <c r="F46" s="438">
        <v>0</v>
      </c>
    </row>
    <row r="47" spans="1:6" x14ac:dyDescent="0.3">
      <c r="A47" s="437">
        <v>41</v>
      </c>
      <c r="B47" s="440" t="s">
        <v>252</v>
      </c>
      <c r="C47" s="439" t="s">
        <v>253</v>
      </c>
      <c r="D47" s="438">
        <v>9386</v>
      </c>
      <c r="E47" s="438">
        <v>0</v>
      </c>
      <c r="F47" s="438">
        <v>0</v>
      </c>
    </row>
    <row r="48" spans="1:6" x14ac:dyDescent="0.3">
      <c r="A48" s="437">
        <v>42</v>
      </c>
      <c r="B48" s="440" t="s">
        <v>250</v>
      </c>
      <c r="C48" s="439" t="s">
        <v>251</v>
      </c>
      <c r="D48" s="438">
        <v>12207</v>
      </c>
      <c r="E48" s="438">
        <v>0</v>
      </c>
      <c r="F48" s="438">
        <v>0</v>
      </c>
    </row>
    <row r="49" spans="1:6" x14ac:dyDescent="0.3">
      <c r="A49" s="437">
        <v>43</v>
      </c>
      <c r="B49" s="440" t="s">
        <v>165</v>
      </c>
      <c r="C49" s="439" t="s">
        <v>166</v>
      </c>
      <c r="D49" s="438">
        <v>9137</v>
      </c>
      <c r="E49" s="438">
        <v>0</v>
      </c>
      <c r="F49" s="438">
        <v>0</v>
      </c>
    </row>
    <row r="50" spans="1:6" x14ac:dyDescent="0.3">
      <c r="A50" s="437">
        <v>44</v>
      </c>
      <c r="B50" s="440" t="s">
        <v>115</v>
      </c>
      <c r="C50" s="439" t="s">
        <v>116</v>
      </c>
      <c r="D50" s="438">
        <v>11431</v>
      </c>
      <c r="E50" s="438">
        <v>0</v>
      </c>
      <c r="F50" s="438">
        <v>0</v>
      </c>
    </row>
    <row r="51" spans="1:6" x14ac:dyDescent="0.3">
      <c r="A51" s="437">
        <v>45</v>
      </c>
      <c r="B51" s="440" t="s">
        <v>185</v>
      </c>
      <c r="C51" s="439" t="s">
        <v>186</v>
      </c>
      <c r="D51" s="438">
        <v>66720</v>
      </c>
      <c r="E51" s="438">
        <v>0</v>
      </c>
      <c r="F51" s="438">
        <v>0</v>
      </c>
    </row>
    <row r="52" spans="1:6" x14ac:dyDescent="0.3">
      <c r="A52" s="437">
        <v>46</v>
      </c>
      <c r="B52" s="440" t="s">
        <v>84</v>
      </c>
      <c r="C52" s="439" t="s">
        <v>85</v>
      </c>
      <c r="D52" s="438">
        <v>35695</v>
      </c>
      <c r="E52" s="438">
        <v>0</v>
      </c>
      <c r="F52" s="438">
        <v>0</v>
      </c>
    </row>
    <row r="53" spans="1:6" x14ac:dyDescent="0.3">
      <c r="A53" s="437">
        <v>47</v>
      </c>
      <c r="B53" s="440" t="s">
        <v>167</v>
      </c>
      <c r="C53" s="439" t="s">
        <v>168</v>
      </c>
      <c r="D53" s="438">
        <v>7220</v>
      </c>
      <c r="E53" s="438">
        <v>0</v>
      </c>
      <c r="F53" s="438">
        <v>0</v>
      </c>
    </row>
    <row r="54" spans="1:6" x14ac:dyDescent="0.3">
      <c r="A54" s="437">
        <v>48</v>
      </c>
      <c r="B54" s="440" t="s">
        <v>131</v>
      </c>
      <c r="C54" s="439" t="s">
        <v>132</v>
      </c>
      <c r="D54" s="438">
        <v>14569</v>
      </c>
      <c r="E54" s="438">
        <v>0</v>
      </c>
      <c r="F54" s="438">
        <v>0</v>
      </c>
    </row>
    <row r="55" spans="1:6" x14ac:dyDescent="0.3">
      <c r="A55" s="437">
        <v>49</v>
      </c>
      <c r="B55" s="440" t="s">
        <v>254</v>
      </c>
      <c r="C55" s="439" t="s">
        <v>255</v>
      </c>
      <c r="D55" s="438">
        <v>13784</v>
      </c>
      <c r="E55" s="438">
        <v>0</v>
      </c>
      <c r="F55" s="438">
        <v>0</v>
      </c>
    </row>
    <row r="56" spans="1:6" x14ac:dyDescent="0.3">
      <c r="A56" s="437">
        <v>50</v>
      </c>
      <c r="B56" s="440" t="s">
        <v>256</v>
      </c>
      <c r="C56" s="439" t="s">
        <v>257</v>
      </c>
      <c r="D56" s="438">
        <v>24146</v>
      </c>
      <c r="E56" s="438">
        <v>0</v>
      </c>
      <c r="F56" s="438">
        <v>0</v>
      </c>
    </row>
    <row r="57" spans="1:6" x14ac:dyDescent="0.3">
      <c r="A57" s="437">
        <v>51</v>
      </c>
      <c r="B57" s="440" t="s">
        <v>187</v>
      </c>
      <c r="C57" s="439" t="s">
        <v>188</v>
      </c>
      <c r="D57" s="438">
        <v>10290</v>
      </c>
      <c r="E57" s="438">
        <v>0</v>
      </c>
      <c r="F57" s="438">
        <v>0</v>
      </c>
    </row>
    <row r="58" spans="1:6" x14ac:dyDescent="0.3">
      <c r="A58" s="437">
        <v>52</v>
      </c>
      <c r="B58" s="440" t="s">
        <v>127</v>
      </c>
      <c r="C58" s="439" t="s">
        <v>128</v>
      </c>
      <c r="D58" s="438">
        <v>21948</v>
      </c>
      <c r="E58" s="438">
        <v>0</v>
      </c>
      <c r="F58" s="438">
        <v>0</v>
      </c>
    </row>
    <row r="59" spans="1:6" x14ac:dyDescent="0.3">
      <c r="A59" s="437">
        <v>53</v>
      </c>
      <c r="B59" s="440" t="s">
        <v>143</v>
      </c>
      <c r="C59" s="439" t="s">
        <v>144</v>
      </c>
      <c r="D59" s="438">
        <v>7190</v>
      </c>
      <c r="E59" s="438">
        <v>0</v>
      </c>
      <c r="F59" s="438">
        <v>0</v>
      </c>
    </row>
    <row r="60" spans="1:6" x14ac:dyDescent="0.3">
      <c r="A60" s="437">
        <v>54</v>
      </c>
      <c r="B60" s="440" t="s">
        <v>117</v>
      </c>
      <c r="C60" s="439" t="s">
        <v>118</v>
      </c>
      <c r="D60" s="438">
        <v>82900</v>
      </c>
      <c r="E60" s="438">
        <v>0</v>
      </c>
      <c r="F60" s="438">
        <v>0</v>
      </c>
    </row>
    <row r="61" spans="1:6" x14ac:dyDescent="0.3">
      <c r="A61" s="437">
        <v>55</v>
      </c>
      <c r="B61" s="440" t="s">
        <v>171</v>
      </c>
      <c r="C61" s="439" t="s">
        <v>172</v>
      </c>
      <c r="D61" s="438">
        <v>56368</v>
      </c>
      <c r="E61" s="438">
        <v>0</v>
      </c>
      <c r="F61" s="438">
        <v>0</v>
      </c>
    </row>
    <row r="62" spans="1:6" x14ac:dyDescent="0.3">
      <c r="A62" s="437">
        <v>56</v>
      </c>
      <c r="B62" s="440" t="s">
        <v>141</v>
      </c>
      <c r="C62" s="439" t="s">
        <v>142</v>
      </c>
      <c r="D62" s="438">
        <v>31378</v>
      </c>
      <c r="E62" s="438">
        <v>0</v>
      </c>
      <c r="F62" s="438">
        <v>0</v>
      </c>
    </row>
    <row r="63" spans="1:6" x14ac:dyDescent="0.3">
      <c r="A63" s="437">
        <v>57</v>
      </c>
      <c r="B63" s="440" t="s">
        <v>169</v>
      </c>
      <c r="C63" s="439" t="s">
        <v>584</v>
      </c>
      <c r="D63" s="438">
        <v>5689</v>
      </c>
      <c r="E63" s="438">
        <v>0</v>
      </c>
      <c r="F63" s="438">
        <v>0</v>
      </c>
    </row>
    <row r="64" spans="1:6" x14ac:dyDescent="0.3">
      <c r="A64" s="437">
        <v>58</v>
      </c>
      <c r="B64" s="440" t="s">
        <v>46</v>
      </c>
      <c r="C64" s="439" t="s">
        <v>47</v>
      </c>
      <c r="D64" s="438">
        <v>66616</v>
      </c>
      <c r="E64" s="438">
        <v>0</v>
      </c>
      <c r="F64" s="438">
        <v>0</v>
      </c>
    </row>
    <row r="65" spans="1:6" x14ac:dyDescent="0.3">
      <c r="A65" s="437">
        <v>59</v>
      </c>
      <c r="B65" s="440" t="s">
        <v>149</v>
      </c>
      <c r="C65" s="439" t="s">
        <v>150</v>
      </c>
      <c r="D65" s="438">
        <v>119864</v>
      </c>
      <c r="E65" s="438">
        <v>24378</v>
      </c>
      <c r="F65" s="438">
        <v>0</v>
      </c>
    </row>
    <row r="66" spans="1:6" x14ac:dyDescent="0.3">
      <c r="A66" s="437">
        <v>60</v>
      </c>
      <c r="B66" s="440" t="s">
        <v>151</v>
      </c>
      <c r="C66" s="439" t="s">
        <v>152</v>
      </c>
      <c r="D66" s="438">
        <v>27795</v>
      </c>
      <c r="E66" s="438">
        <v>14293</v>
      </c>
      <c r="F66" s="438">
        <v>0</v>
      </c>
    </row>
    <row r="67" spans="1:6" x14ac:dyDescent="0.3">
      <c r="A67" s="437">
        <v>61</v>
      </c>
      <c r="B67" s="440" t="s">
        <v>153</v>
      </c>
      <c r="C67" s="439" t="s">
        <v>154</v>
      </c>
      <c r="D67" s="438">
        <v>11000</v>
      </c>
      <c r="E67" s="438">
        <v>0</v>
      </c>
      <c r="F67" s="438">
        <v>0</v>
      </c>
    </row>
    <row r="68" spans="1:6" x14ac:dyDescent="0.3">
      <c r="A68" s="437">
        <v>62</v>
      </c>
      <c r="B68" s="440" t="s">
        <v>62</v>
      </c>
      <c r="C68" s="439" t="s">
        <v>200</v>
      </c>
      <c r="D68" s="438">
        <v>27789</v>
      </c>
      <c r="E68" s="438">
        <v>0</v>
      </c>
      <c r="F68" s="438">
        <v>0</v>
      </c>
    </row>
    <row r="69" spans="1:6" x14ac:dyDescent="0.3">
      <c r="A69" s="437">
        <v>63</v>
      </c>
      <c r="B69" s="440" t="s">
        <v>64</v>
      </c>
      <c r="C69" s="439" t="s">
        <v>201</v>
      </c>
      <c r="D69" s="438">
        <v>17008</v>
      </c>
      <c r="E69" s="438">
        <v>0</v>
      </c>
      <c r="F69" s="438">
        <v>0</v>
      </c>
    </row>
    <row r="70" spans="1:6" x14ac:dyDescent="0.3">
      <c r="A70" s="437">
        <v>64</v>
      </c>
      <c r="B70" s="440" t="s">
        <v>217</v>
      </c>
      <c r="C70" s="439" t="s">
        <v>218</v>
      </c>
      <c r="D70" s="438">
        <v>44511</v>
      </c>
      <c r="E70" s="438">
        <v>12020</v>
      </c>
      <c r="F70" s="438">
        <v>0</v>
      </c>
    </row>
    <row r="71" spans="1:6" x14ac:dyDescent="0.3">
      <c r="A71" s="437">
        <v>65</v>
      </c>
      <c r="B71" s="440" t="s">
        <v>66</v>
      </c>
      <c r="C71" s="439" t="s">
        <v>202</v>
      </c>
      <c r="D71" s="438">
        <v>37577</v>
      </c>
      <c r="E71" s="438">
        <v>0</v>
      </c>
      <c r="F71" s="438">
        <v>0</v>
      </c>
    </row>
    <row r="72" spans="1:6" x14ac:dyDescent="0.3">
      <c r="A72" s="437">
        <v>66</v>
      </c>
      <c r="B72" s="440" t="s">
        <v>44</v>
      </c>
      <c r="C72" s="439" t="s">
        <v>221</v>
      </c>
      <c r="D72" s="438">
        <v>18402</v>
      </c>
      <c r="E72" s="438">
        <v>0</v>
      </c>
      <c r="F72" s="438">
        <v>0</v>
      </c>
    </row>
    <row r="73" spans="1:6" x14ac:dyDescent="0.3">
      <c r="A73" s="437">
        <v>67</v>
      </c>
      <c r="B73" s="440" t="s">
        <v>52</v>
      </c>
      <c r="C73" s="439" t="s">
        <v>220</v>
      </c>
      <c r="D73" s="438">
        <v>67739</v>
      </c>
      <c r="E73" s="438">
        <v>25215</v>
      </c>
      <c r="F73" s="438">
        <v>13081</v>
      </c>
    </row>
    <row r="74" spans="1:6" x14ac:dyDescent="0.3">
      <c r="A74" s="437">
        <v>68</v>
      </c>
      <c r="B74" s="440" t="s">
        <v>54</v>
      </c>
      <c r="C74" s="439" t="s">
        <v>222</v>
      </c>
      <c r="D74" s="438">
        <v>48840</v>
      </c>
      <c r="E74" s="438">
        <v>0</v>
      </c>
      <c r="F74" s="438">
        <v>0</v>
      </c>
    </row>
    <row r="75" spans="1:6" x14ac:dyDescent="0.3">
      <c r="A75" s="437">
        <v>69</v>
      </c>
      <c r="B75" s="440" t="s">
        <v>48</v>
      </c>
      <c r="C75" s="439" t="s">
        <v>408</v>
      </c>
      <c r="D75" s="438">
        <v>39600</v>
      </c>
      <c r="E75" s="438">
        <v>0</v>
      </c>
      <c r="F75" s="438">
        <v>0</v>
      </c>
    </row>
    <row r="76" spans="1:6" x14ac:dyDescent="0.3">
      <c r="A76" s="437">
        <v>70</v>
      </c>
      <c r="B76" s="440" t="s">
        <v>50</v>
      </c>
      <c r="C76" s="439" t="s">
        <v>219</v>
      </c>
      <c r="D76" s="438">
        <v>72122</v>
      </c>
      <c r="E76" s="438">
        <v>20067</v>
      </c>
      <c r="F76" s="438">
        <v>0</v>
      </c>
    </row>
    <row r="77" spans="1:6" x14ac:dyDescent="0.3">
      <c r="A77" s="437">
        <v>71</v>
      </c>
      <c r="B77" s="440" t="s">
        <v>36</v>
      </c>
      <c r="C77" s="439" t="s">
        <v>37</v>
      </c>
      <c r="D77" s="438">
        <v>28388</v>
      </c>
      <c r="E77" s="438">
        <v>0</v>
      </c>
      <c r="F77" s="438">
        <v>0</v>
      </c>
    </row>
    <row r="78" spans="1:6" x14ac:dyDescent="0.3">
      <c r="A78" s="437">
        <v>72</v>
      </c>
      <c r="B78" s="440" t="s">
        <v>22</v>
      </c>
      <c r="C78" s="439" t="s">
        <v>23</v>
      </c>
      <c r="D78" s="438">
        <v>9789</v>
      </c>
      <c r="E78" s="438">
        <v>0</v>
      </c>
      <c r="F78" s="438">
        <v>0</v>
      </c>
    </row>
    <row r="79" spans="1:6" x14ac:dyDescent="0.3">
      <c r="A79" s="437">
        <v>73</v>
      </c>
      <c r="B79" s="440" t="s">
        <v>24</v>
      </c>
      <c r="C79" s="439" t="s">
        <v>25</v>
      </c>
      <c r="D79" s="438">
        <v>7691</v>
      </c>
      <c r="E79" s="438">
        <v>0</v>
      </c>
      <c r="F79" s="438">
        <v>0</v>
      </c>
    </row>
    <row r="80" spans="1:6" x14ac:dyDescent="0.3">
      <c r="A80" s="437">
        <v>74</v>
      </c>
      <c r="B80" s="440" t="s">
        <v>193</v>
      </c>
      <c r="C80" s="439" t="s">
        <v>583</v>
      </c>
      <c r="D80" s="438">
        <v>26753</v>
      </c>
      <c r="E80" s="438">
        <v>15855</v>
      </c>
      <c r="F80" s="438">
        <v>0</v>
      </c>
    </row>
    <row r="81" spans="1:12" x14ac:dyDescent="0.3">
      <c r="A81" s="437">
        <v>75</v>
      </c>
      <c r="B81" s="440" t="s">
        <v>26</v>
      </c>
      <c r="C81" s="439" t="s">
        <v>27</v>
      </c>
      <c r="D81" s="438">
        <v>29803</v>
      </c>
      <c r="E81" s="438">
        <v>15812</v>
      </c>
      <c r="F81" s="438">
        <v>0</v>
      </c>
    </row>
    <row r="82" spans="1:12" x14ac:dyDescent="0.3">
      <c r="A82" s="437">
        <v>76</v>
      </c>
      <c r="B82" s="440" t="s">
        <v>28</v>
      </c>
      <c r="C82" s="439" t="s">
        <v>29</v>
      </c>
      <c r="D82" s="438">
        <v>8484</v>
      </c>
      <c r="E82" s="438">
        <v>0</v>
      </c>
      <c r="F82" s="438">
        <v>0</v>
      </c>
    </row>
    <row r="83" spans="1:12" ht="22.5" x14ac:dyDescent="0.3">
      <c r="A83" s="437">
        <v>77</v>
      </c>
      <c r="B83" s="440" t="s">
        <v>198</v>
      </c>
      <c r="C83" s="439" t="s">
        <v>582</v>
      </c>
      <c r="D83" s="438">
        <v>9725</v>
      </c>
      <c r="E83" s="438">
        <v>0</v>
      </c>
      <c r="F83" s="438">
        <v>0</v>
      </c>
    </row>
    <row r="84" spans="1:12" x14ac:dyDescent="0.3">
      <c r="A84" s="437">
        <v>78</v>
      </c>
      <c r="B84" s="440" t="s">
        <v>205</v>
      </c>
      <c r="C84" s="439" t="s">
        <v>206</v>
      </c>
      <c r="D84" s="438">
        <v>23001</v>
      </c>
      <c r="E84" s="438">
        <v>0</v>
      </c>
      <c r="F84" s="438">
        <v>0</v>
      </c>
    </row>
    <row r="85" spans="1:12" x14ac:dyDescent="0.3">
      <c r="A85" s="437">
        <v>79</v>
      </c>
      <c r="B85" s="440" t="s">
        <v>235</v>
      </c>
      <c r="C85" s="439" t="s">
        <v>581</v>
      </c>
      <c r="D85" s="438">
        <v>2756</v>
      </c>
      <c r="E85" s="438">
        <v>0</v>
      </c>
      <c r="F85" s="438">
        <v>0</v>
      </c>
    </row>
    <row r="86" spans="1:12" x14ac:dyDescent="0.3">
      <c r="A86" s="437">
        <v>80</v>
      </c>
      <c r="B86" s="440" t="s">
        <v>74</v>
      </c>
      <c r="C86" s="439" t="s">
        <v>580</v>
      </c>
      <c r="D86" s="438">
        <v>10809</v>
      </c>
      <c r="E86" s="438">
        <v>0</v>
      </c>
      <c r="F86" s="438">
        <v>0</v>
      </c>
    </row>
    <row r="87" spans="1:12" x14ac:dyDescent="0.3">
      <c r="A87" s="1178">
        <v>81</v>
      </c>
      <c r="B87" s="1179" t="s">
        <v>228</v>
      </c>
      <c r="C87" s="439" t="s">
        <v>579</v>
      </c>
      <c r="D87" s="438">
        <v>16789</v>
      </c>
      <c r="E87" s="438">
        <v>0</v>
      </c>
      <c r="F87" s="438">
        <v>13358</v>
      </c>
    </row>
    <row r="88" spans="1:12" ht="22.5" x14ac:dyDescent="0.3">
      <c r="A88" s="1178"/>
      <c r="B88" s="1179"/>
      <c r="C88" s="439" t="s">
        <v>578</v>
      </c>
      <c r="D88" s="438">
        <v>3431</v>
      </c>
      <c r="E88" s="438">
        <v>0</v>
      </c>
      <c r="F88" s="438">
        <v>0</v>
      </c>
    </row>
    <row r="89" spans="1:12" ht="22.5" x14ac:dyDescent="0.3">
      <c r="A89" s="1178"/>
      <c r="B89" s="1179"/>
      <c r="C89" s="439" t="s">
        <v>577</v>
      </c>
      <c r="D89" s="438">
        <v>13358</v>
      </c>
      <c r="E89" s="438">
        <v>0</v>
      </c>
      <c r="F89" s="438">
        <v>13358</v>
      </c>
    </row>
    <row r="90" spans="1:12" x14ac:dyDescent="0.3">
      <c r="A90" s="437">
        <v>82</v>
      </c>
      <c r="B90" s="440" t="s">
        <v>34</v>
      </c>
      <c r="C90" s="439" t="s">
        <v>35</v>
      </c>
      <c r="D90" s="438">
        <v>30459</v>
      </c>
      <c r="E90" s="438">
        <v>25583</v>
      </c>
      <c r="F90" s="438">
        <v>0</v>
      </c>
    </row>
    <row r="91" spans="1:12" x14ac:dyDescent="0.3">
      <c r="A91" s="437">
        <v>83</v>
      </c>
      <c r="B91" s="440" t="s">
        <v>56</v>
      </c>
      <c r="C91" s="439" t="s">
        <v>304</v>
      </c>
      <c r="D91" s="438">
        <v>64548</v>
      </c>
      <c r="E91" s="438">
        <v>25000</v>
      </c>
      <c r="F91" s="438">
        <v>0</v>
      </c>
      <c r="J91" s="434"/>
      <c r="K91" s="434"/>
      <c r="L91" s="434"/>
    </row>
    <row r="92" spans="1:12" x14ac:dyDescent="0.3">
      <c r="A92" s="437">
        <v>84</v>
      </c>
      <c r="B92" s="440" t="s">
        <v>60</v>
      </c>
      <c r="C92" s="439" t="s">
        <v>303</v>
      </c>
      <c r="D92" s="438">
        <v>51239</v>
      </c>
      <c r="E92" s="438">
        <v>0</v>
      </c>
      <c r="F92" s="438">
        <v>0</v>
      </c>
    </row>
    <row r="93" spans="1:12" x14ac:dyDescent="0.3">
      <c r="A93" s="437">
        <v>85</v>
      </c>
      <c r="B93" s="440" t="s">
        <v>305</v>
      </c>
      <c r="C93" s="439" t="s">
        <v>576</v>
      </c>
      <c r="D93" s="438">
        <v>4000</v>
      </c>
      <c r="E93" s="438">
        <v>0</v>
      </c>
      <c r="F93" s="438">
        <v>0</v>
      </c>
    </row>
    <row r="94" spans="1:12" x14ac:dyDescent="0.3">
      <c r="A94" s="437">
        <v>86</v>
      </c>
      <c r="B94" s="440" t="s">
        <v>72</v>
      </c>
      <c r="C94" s="439" t="s">
        <v>73</v>
      </c>
      <c r="D94" s="438">
        <v>500</v>
      </c>
      <c r="E94" s="438">
        <v>0</v>
      </c>
      <c r="F94" s="438">
        <v>0</v>
      </c>
    </row>
    <row r="95" spans="1:12" x14ac:dyDescent="0.3">
      <c r="A95" s="437"/>
      <c r="B95" s="437"/>
      <c r="C95" s="439" t="s">
        <v>105</v>
      </c>
      <c r="D95" s="438">
        <v>10000</v>
      </c>
      <c r="E95" s="438"/>
      <c r="F95" s="438"/>
    </row>
    <row r="96" spans="1:12" x14ac:dyDescent="0.3">
      <c r="A96" s="437"/>
      <c r="B96" s="437"/>
      <c r="C96" s="436" t="s">
        <v>536</v>
      </c>
      <c r="D96" s="435">
        <f>SUM(D7:D95)-D87</f>
        <v>2100132</v>
      </c>
      <c r="E96" s="435">
        <f>SUM(E7:E95)-E87</f>
        <v>178223</v>
      </c>
      <c r="F96" s="435">
        <f>SUM(F7:F95)-F87</f>
        <v>26439</v>
      </c>
    </row>
    <row r="98" spans="4:4" x14ac:dyDescent="0.3">
      <c r="D98" s="434"/>
    </row>
  </sheetData>
  <mergeCells count="8">
    <mergeCell ref="A1:F2"/>
    <mergeCell ref="A87:A89"/>
    <mergeCell ref="B87:B89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123"/>
  <sheetViews>
    <sheetView zoomScale="93" zoomScaleNormal="93" workbookViewId="0">
      <pane xSplit="3" ySplit="7" topLeftCell="D104" activePane="bottomRight" state="frozen"/>
      <selection pane="topRight" activeCell="D1" sqref="D1"/>
      <selection pane="bottomLeft" activeCell="A8" sqref="A8"/>
      <selection pane="bottomRight" activeCell="Q116" sqref="Q116"/>
    </sheetView>
  </sheetViews>
  <sheetFormatPr defaultRowHeight="12" x14ac:dyDescent="0.25"/>
  <cols>
    <col min="1" max="1" width="4.7109375" style="854" customWidth="1"/>
    <col min="2" max="2" width="9.28515625" style="854" customWidth="1"/>
    <col min="3" max="3" width="31.7109375" style="726" bestFit="1" customWidth="1"/>
    <col min="4" max="6" width="12.85546875" style="856" customWidth="1"/>
    <col min="7" max="7" width="14" style="856" customWidth="1"/>
    <col min="8" max="9" width="10.5703125" style="856" customWidth="1"/>
    <col min="10" max="10" width="13.28515625" style="856" customWidth="1"/>
    <col min="11" max="11" width="11.28515625" style="856" customWidth="1"/>
    <col min="12" max="12" width="15" style="856" customWidth="1"/>
    <col min="13" max="13" width="10.5703125" style="856" customWidth="1"/>
    <col min="14" max="15" width="13.28515625" style="856" customWidth="1"/>
    <col min="16" max="16" width="12" style="856" customWidth="1"/>
    <col min="17" max="17" width="12.42578125" style="856" customWidth="1"/>
    <col min="18" max="21" width="11.7109375" style="856" customWidth="1"/>
    <col min="22" max="22" width="13.28515625" style="856" customWidth="1"/>
    <col min="23" max="16384" width="9.140625" style="856"/>
  </cols>
  <sheetData>
    <row r="1" spans="1:23" x14ac:dyDescent="0.25"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V1" s="855"/>
    </row>
    <row r="2" spans="1:23" ht="23.25" customHeight="1" x14ac:dyDescent="0.25">
      <c r="A2" s="1181" t="s">
        <v>92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81"/>
      <c r="N2" s="1181"/>
      <c r="O2" s="1181"/>
      <c r="P2" s="1181"/>
      <c r="Q2" s="1181"/>
      <c r="R2" s="1181"/>
      <c r="S2" s="1181"/>
      <c r="T2" s="1181"/>
      <c r="U2" s="1181"/>
      <c r="V2" s="1181"/>
    </row>
    <row r="3" spans="1:23" x14ac:dyDescent="0.25">
      <c r="C3" s="857"/>
      <c r="D3" s="855"/>
      <c r="E3" s="855"/>
      <c r="F3" s="855"/>
      <c r="G3" s="855"/>
      <c r="H3" s="855"/>
    </row>
    <row r="4" spans="1:23" s="858" customFormat="1" ht="15.75" customHeight="1" x14ac:dyDescent="0.25">
      <c r="A4" s="1182" t="s">
        <v>0</v>
      </c>
      <c r="B4" s="1182" t="s">
        <v>1</v>
      </c>
      <c r="C4" s="1183" t="s">
        <v>93</v>
      </c>
      <c r="D4" s="1184" t="s">
        <v>94</v>
      </c>
      <c r="E4" s="1184"/>
      <c r="F4" s="1184"/>
      <c r="G4" s="1184"/>
      <c r="H4" s="1184"/>
      <c r="I4" s="1184"/>
      <c r="J4" s="1184"/>
      <c r="K4" s="1184"/>
      <c r="L4" s="1184"/>
      <c r="M4" s="1184"/>
      <c r="N4" s="1184"/>
      <c r="O4" s="1184"/>
      <c r="P4" s="1184"/>
      <c r="Q4" s="1184"/>
      <c r="R4" s="1184"/>
      <c r="S4" s="1184"/>
      <c r="T4" s="1184"/>
      <c r="U4" s="1184"/>
      <c r="V4" s="1184"/>
    </row>
    <row r="5" spans="1:23" ht="39" customHeight="1" x14ac:dyDescent="0.25">
      <c r="A5" s="1182"/>
      <c r="B5" s="1182"/>
      <c r="C5" s="1183"/>
      <c r="D5" s="1184" t="s">
        <v>95</v>
      </c>
      <c r="E5" s="1185" t="s">
        <v>740</v>
      </c>
      <c r="F5" s="1185" t="s">
        <v>741</v>
      </c>
      <c r="G5" s="1185" t="s">
        <v>742</v>
      </c>
      <c r="H5" s="1184" t="s">
        <v>96</v>
      </c>
      <c r="I5" s="1184" t="s">
        <v>97</v>
      </c>
      <c r="J5" s="1194" t="s">
        <v>743</v>
      </c>
      <c r="K5" s="1195"/>
      <c r="L5" s="1195"/>
      <c r="M5" s="1194" t="s">
        <v>98</v>
      </c>
      <c r="N5" s="1195"/>
      <c r="O5" s="1195"/>
      <c r="P5" s="1196"/>
      <c r="Q5" s="1184" t="s">
        <v>99</v>
      </c>
      <c r="R5" s="1184" t="s">
        <v>100</v>
      </c>
      <c r="S5" s="1184"/>
      <c r="T5" s="1184"/>
      <c r="U5" s="1184"/>
      <c r="V5" s="1184"/>
    </row>
    <row r="6" spans="1:23" ht="69" customHeight="1" x14ac:dyDescent="0.25">
      <c r="A6" s="1182"/>
      <c r="B6" s="1182"/>
      <c r="C6" s="1183"/>
      <c r="D6" s="1184"/>
      <c r="E6" s="1186"/>
      <c r="F6" s="1186"/>
      <c r="G6" s="1186"/>
      <c r="H6" s="1184"/>
      <c r="I6" s="1184"/>
      <c r="J6" s="1185" t="s">
        <v>331</v>
      </c>
      <c r="K6" s="1185" t="s">
        <v>439</v>
      </c>
      <c r="L6" s="1185" t="s">
        <v>777</v>
      </c>
      <c r="M6" s="1185" t="s">
        <v>101</v>
      </c>
      <c r="N6" s="1194" t="s">
        <v>352</v>
      </c>
      <c r="O6" s="1195"/>
      <c r="P6" s="1196"/>
      <c r="Q6" s="1184"/>
      <c r="R6" s="1184" t="s">
        <v>101</v>
      </c>
      <c r="S6" s="1184" t="s">
        <v>102</v>
      </c>
      <c r="T6" s="1184"/>
      <c r="U6" s="1184" t="s">
        <v>103</v>
      </c>
      <c r="V6" s="1184"/>
    </row>
    <row r="7" spans="1:23" ht="40.5" customHeight="1" x14ac:dyDescent="0.25">
      <c r="A7" s="1182"/>
      <c r="B7" s="1182"/>
      <c r="C7" s="1183"/>
      <c r="D7" s="1184"/>
      <c r="E7" s="1187"/>
      <c r="F7" s="1187"/>
      <c r="G7" s="1187"/>
      <c r="H7" s="1184"/>
      <c r="I7" s="1184"/>
      <c r="J7" s="1187"/>
      <c r="K7" s="1187"/>
      <c r="L7" s="1187"/>
      <c r="M7" s="1187"/>
      <c r="N7" s="912" t="s">
        <v>353</v>
      </c>
      <c r="O7" s="912" t="s">
        <v>354</v>
      </c>
      <c r="P7" s="912" t="s">
        <v>104</v>
      </c>
      <c r="Q7" s="1184"/>
      <c r="R7" s="1184"/>
      <c r="S7" s="912" t="s">
        <v>104</v>
      </c>
      <c r="T7" s="912" t="s">
        <v>353</v>
      </c>
      <c r="U7" s="912" t="s">
        <v>354</v>
      </c>
      <c r="V7" s="912" t="s">
        <v>353</v>
      </c>
    </row>
    <row r="8" spans="1:23" s="858" customFormat="1" x14ac:dyDescent="0.25">
      <c r="A8" s="1197" t="s">
        <v>3</v>
      </c>
      <c r="B8" s="1197"/>
      <c r="C8" s="1197"/>
      <c r="D8" s="859">
        <v>6952603</v>
      </c>
      <c r="E8" s="859">
        <v>379886</v>
      </c>
      <c r="F8" s="859">
        <v>636</v>
      </c>
      <c r="G8" s="859">
        <v>72990</v>
      </c>
      <c r="H8" s="859">
        <v>15491</v>
      </c>
      <c r="I8" s="859">
        <v>66198</v>
      </c>
      <c r="J8" s="859">
        <v>154050</v>
      </c>
      <c r="K8" s="859">
        <v>153091</v>
      </c>
      <c r="L8" s="859">
        <v>959</v>
      </c>
      <c r="M8" s="859">
        <v>200892</v>
      </c>
      <c r="N8" s="859">
        <v>172595</v>
      </c>
      <c r="O8" s="859">
        <v>27688</v>
      </c>
      <c r="P8" s="859">
        <v>609</v>
      </c>
      <c r="Q8" s="859">
        <v>41574</v>
      </c>
      <c r="R8" s="859">
        <v>6020886</v>
      </c>
      <c r="S8" s="859">
        <v>53362</v>
      </c>
      <c r="T8" s="859">
        <v>719352</v>
      </c>
      <c r="U8" s="859">
        <v>1063119</v>
      </c>
      <c r="V8" s="859">
        <v>4185053</v>
      </c>
      <c r="W8" s="860"/>
    </row>
    <row r="9" spans="1:23" s="729" customFormat="1" ht="11.25" customHeight="1" x14ac:dyDescent="0.25">
      <c r="A9" s="850"/>
      <c r="B9" s="850"/>
      <c r="C9" s="727" t="s">
        <v>105</v>
      </c>
      <c r="D9" s="728">
        <v>7000</v>
      </c>
      <c r="E9" s="728">
        <v>0</v>
      </c>
      <c r="F9" s="728">
        <v>0</v>
      </c>
      <c r="G9" s="728">
        <v>0</v>
      </c>
      <c r="H9" s="728">
        <v>0</v>
      </c>
      <c r="I9" s="728">
        <v>0</v>
      </c>
      <c r="J9" s="728">
        <v>0</v>
      </c>
      <c r="K9" s="728">
        <v>0</v>
      </c>
      <c r="L9" s="728">
        <v>0</v>
      </c>
      <c r="M9" s="728">
        <v>7000</v>
      </c>
      <c r="N9" s="728">
        <v>7000</v>
      </c>
      <c r="O9" s="728">
        <v>0</v>
      </c>
      <c r="P9" s="728">
        <v>0</v>
      </c>
      <c r="Q9" s="728">
        <v>0</v>
      </c>
      <c r="R9" s="728">
        <v>0</v>
      </c>
      <c r="S9" s="728">
        <v>0</v>
      </c>
      <c r="T9" s="728">
        <v>0</v>
      </c>
      <c r="U9" s="728">
        <v>0</v>
      </c>
      <c r="V9" s="728">
        <v>0</v>
      </c>
      <c r="W9" s="860"/>
    </row>
    <row r="10" spans="1:23" s="729" customFormat="1" ht="11.25" customHeight="1" x14ac:dyDescent="0.25">
      <c r="A10" s="850"/>
      <c r="B10" s="850"/>
      <c r="C10" s="727" t="s">
        <v>106</v>
      </c>
      <c r="D10" s="728">
        <v>1414</v>
      </c>
      <c r="E10" s="728">
        <v>0</v>
      </c>
      <c r="F10" s="728">
        <v>0</v>
      </c>
      <c r="G10" s="728">
        <v>0</v>
      </c>
      <c r="H10" s="728">
        <v>0</v>
      </c>
      <c r="I10" s="728">
        <v>0</v>
      </c>
      <c r="J10" s="728">
        <v>0</v>
      </c>
      <c r="K10" s="728">
        <v>0</v>
      </c>
      <c r="L10" s="728">
        <v>0</v>
      </c>
      <c r="M10" s="728">
        <v>1414</v>
      </c>
      <c r="N10" s="728">
        <v>1414</v>
      </c>
      <c r="O10" s="728">
        <v>0</v>
      </c>
      <c r="P10" s="728">
        <v>0</v>
      </c>
      <c r="Q10" s="728">
        <v>0</v>
      </c>
      <c r="R10" s="728">
        <v>0</v>
      </c>
      <c r="S10" s="728">
        <v>0</v>
      </c>
      <c r="T10" s="728">
        <v>0</v>
      </c>
      <c r="U10" s="728">
        <v>0</v>
      </c>
      <c r="V10" s="728">
        <v>0</v>
      </c>
      <c r="W10" s="860"/>
    </row>
    <row r="11" spans="1:23" s="858" customFormat="1" x14ac:dyDescent="0.25">
      <c r="A11" s="1197" t="s">
        <v>108</v>
      </c>
      <c r="B11" s="1197"/>
      <c r="C11" s="1197"/>
      <c r="D11" s="859">
        <v>6944189</v>
      </c>
      <c r="E11" s="859">
        <v>379886</v>
      </c>
      <c r="F11" s="859">
        <v>636</v>
      </c>
      <c r="G11" s="859">
        <v>72990</v>
      </c>
      <c r="H11" s="859">
        <v>15491</v>
      </c>
      <c r="I11" s="859">
        <v>66198</v>
      </c>
      <c r="J11" s="859">
        <v>154050</v>
      </c>
      <c r="K11" s="859">
        <v>153091</v>
      </c>
      <c r="L11" s="859">
        <v>959</v>
      </c>
      <c r="M11" s="859">
        <v>192478</v>
      </c>
      <c r="N11" s="859">
        <v>164181</v>
      </c>
      <c r="O11" s="859">
        <v>27688</v>
      </c>
      <c r="P11" s="859">
        <v>609</v>
      </c>
      <c r="Q11" s="859">
        <v>41574</v>
      </c>
      <c r="R11" s="859">
        <v>6020886</v>
      </c>
      <c r="S11" s="859">
        <v>53362</v>
      </c>
      <c r="T11" s="859">
        <v>719352</v>
      </c>
      <c r="U11" s="859">
        <v>1063119</v>
      </c>
      <c r="V11" s="859">
        <v>4185053</v>
      </c>
      <c r="W11" s="860"/>
    </row>
    <row r="12" spans="1:23" s="732" customFormat="1" ht="12" customHeight="1" x14ac:dyDescent="0.25">
      <c r="A12" s="730">
        <v>1</v>
      </c>
      <c r="B12" s="651" t="s">
        <v>109</v>
      </c>
      <c r="C12" s="652" t="s">
        <v>110</v>
      </c>
      <c r="D12" s="728">
        <v>30553</v>
      </c>
      <c r="E12" s="728">
        <v>1738</v>
      </c>
      <c r="F12" s="728">
        <v>0</v>
      </c>
      <c r="G12" s="728">
        <v>304</v>
      </c>
      <c r="H12" s="728">
        <v>0</v>
      </c>
      <c r="I12" s="728">
        <v>0</v>
      </c>
      <c r="J12" s="728">
        <v>1217</v>
      </c>
      <c r="K12" s="728">
        <v>1167</v>
      </c>
      <c r="L12" s="728">
        <v>50</v>
      </c>
      <c r="M12" s="728">
        <v>0</v>
      </c>
      <c r="N12" s="728">
        <v>0</v>
      </c>
      <c r="O12" s="728">
        <v>0</v>
      </c>
      <c r="P12" s="728">
        <v>0</v>
      </c>
      <c r="Q12" s="728">
        <v>0</v>
      </c>
      <c r="R12" s="731">
        <v>27294</v>
      </c>
      <c r="S12" s="728">
        <v>0</v>
      </c>
      <c r="T12" s="728">
        <v>4740</v>
      </c>
      <c r="U12" s="728">
        <v>3400</v>
      </c>
      <c r="V12" s="728">
        <v>19154</v>
      </c>
      <c r="W12" s="860"/>
    </row>
    <row r="13" spans="1:23" s="732" customFormat="1" x14ac:dyDescent="0.25">
      <c r="A13" s="730">
        <v>2</v>
      </c>
      <c r="B13" s="733" t="s">
        <v>111</v>
      </c>
      <c r="C13" s="652" t="s">
        <v>112</v>
      </c>
      <c r="D13" s="728">
        <v>30877</v>
      </c>
      <c r="E13" s="728">
        <v>1805</v>
      </c>
      <c r="F13" s="728">
        <v>0</v>
      </c>
      <c r="G13" s="728">
        <v>292</v>
      </c>
      <c r="H13" s="728">
        <v>0</v>
      </c>
      <c r="I13" s="728">
        <v>0</v>
      </c>
      <c r="J13" s="728">
        <v>1070</v>
      </c>
      <c r="K13" s="728">
        <v>1070</v>
      </c>
      <c r="L13" s="728">
        <v>0</v>
      </c>
      <c r="M13" s="728">
        <v>0</v>
      </c>
      <c r="N13" s="728">
        <v>0</v>
      </c>
      <c r="O13" s="728">
        <v>0</v>
      </c>
      <c r="P13" s="728">
        <v>0</v>
      </c>
      <c r="Q13" s="728">
        <v>0</v>
      </c>
      <c r="R13" s="731">
        <v>27710</v>
      </c>
      <c r="S13" s="728">
        <v>0</v>
      </c>
      <c r="T13" s="728">
        <v>2470</v>
      </c>
      <c r="U13" s="728">
        <v>7057</v>
      </c>
      <c r="V13" s="728">
        <v>18183</v>
      </c>
      <c r="W13" s="860"/>
    </row>
    <row r="14" spans="1:23" s="732" customFormat="1" x14ac:dyDescent="0.25">
      <c r="A14" s="730">
        <v>3</v>
      </c>
      <c r="B14" s="734" t="s">
        <v>80</v>
      </c>
      <c r="C14" s="652" t="s">
        <v>81</v>
      </c>
      <c r="D14" s="728">
        <v>97335</v>
      </c>
      <c r="E14" s="728">
        <v>5297</v>
      </c>
      <c r="F14" s="728">
        <v>3</v>
      </c>
      <c r="G14" s="728">
        <v>1005</v>
      </c>
      <c r="H14" s="728">
        <v>0</v>
      </c>
      <c r="I14" s="728">
        <v>1483</v>
      </c>
      <c r="J14" s="728">
        <v>2419</v>
      </c>
      <c r="K14" s="728">
        <v>2349</v>
      </c>
      <c r="L14" s="728">
        <v>70</v>
      </c>
      <c r="M14" s="728">
        <v>0</v>
      </c>
      <c r="N14" s="728">
        <v>0</v>
      </c>
      <c r="O14" s="728">
        <v>0</v>
      </c>
      <c r="P14" s="728">
        <v>0</v>
      </c>
      <c r="Q14" s="728">
        <v>0</v>
      </c>
      <c r="R14" s="731">
        <v>87128</v>
      </c>
      <c r="S14" s="728">
        <v>1196</v>
      </c>
      <c r="T14" s="728">
        <v>9620</v>
      </c>
      <c r="U14" s="728">
        <v>21684</v>
      </c>
      <c r="V14" s="728">
        <v>54628</v>
      </c>
      <c r="W14" s="860"/>
    </row>
    <row r="15" spans="1:23" s="732" customFormat="1" ht="14.25" customHeight="1" x14ac:dyDescent="0.25">
      <c r="A15" s="730">
        <v>4</v>
      </c>
      <c r="B15" s="651" t="s">
        <v>113</v>
      </c>
      <c r="C15" s="652" t="s">
        <v>114</v>
      </c>
      <c r="D15" s="728">
        <v>32909</v>
      </c>
      <c r="E15" s="728">
        <v>2011</v>
      </c>
      <c r="F15" s="728">
        <v>0</v>
      </c>
      <c r="G15" s="728">
        <v>312</v>
      </c>
      <c r="H15" s="728">
        <v>0</v>
      </c>
      <c r="I15" s="728">
        <v>0</v>
      </c>
      <c r="J15" s="728">
        <v>102</v>
      </c>
      <c r="K15" s="728">
        <v>102</v>
      </c>
      <c r="L15" s="728">
        <v>0</v>
      </c>
      <c r="M15" s="728">
        <v>0</v>
      </c>
      <c r="N15" s="728">
        <v>0</v>
      </c>
      <c r="O15" s="728">
        <v>0</v>
      </c>
      <c r="P15" s="728">
        <v>0</v>
      </c>
      <c r="Q15" s="728">
        <v>0</v>
      </c>
      <c r="R15" s="731">
        <v>30484</v>
      </c>
      <c r="S15" s="728">
        <v>0</v>
      </c>
      <c r="T15" s="728">
        <v>4365</v>
      </c>
      <c r="U15" s="728">
        <v>4759</v>
      </c>
      <c r="V15" s="728">
        <v>21360</v>
      </c>
      <c r="W15" s="860"/>
    </row>
    <row r="16" spans="1:23" s="732" customFormat="1" x14ac:dyDescent="0.25">
      <c r="A16" s="730">
        <v>5</v>
      </c>
      <c r="B16" s="651" t="s">
        <v>115</v>
      </c>
      <c r="C16" s="652" t="s">
        <v>116</v>
      </c>
      <c r="D16" s="728">
        <v>36909</v>
      </c>
      <c r="E16" s="728">
        <v>2115</v>
      </c>
      <c r="F16" s="728">
        <v>0</v>
      </c>
      <c r="G16" s="728">
        <v>372</v>
      </c>
      <c r="H16" s="728">
        <v>0</v>
      </c>
      <c r="I16" s="728">
        <v>0</v>
      </c>
      <c r="J16" s="728">
        <v>1446</v>
      </c>
      <c r="K16" s="728">
        <v>1446</v>
      </c>
      <c r="L16" s="728">
        <v>0</v>
      </c>
      <c r="M16" s="728">
        <v>0</v>
      </c>
      <c r="N16" s="728">
        <v>0</v>
      </c>
      <c r="O16" s="728">
        <v>0</v>
      </c>
      <c r="P16" s="728">
        <v>0</v>
      </c>
      <c r="Q16" s="728">
        <v>0</v>
      </c>
      <c r="R16" s="731">
        <v>32976</v>
      </c>
      <c r="S16" s="728">
        <v>0</v>
      </c>
      <c r="T16" s="728">
        <v>1806</v>
      </c>
      <c r="U16" s="728">
        <v>8300</v>
      </c>
      <c r="V16" s="728">
        <v>22870</v>
      </c>
      <c r="W16" s="860"/>
    </row>
    <row r="17" spans="1:23" s="732" customFormat="1" x14ac:dyDescent="0.25">
      <c r="A17" s="730">
        <v>6</v>
      </c>
      <c r="B17" s="734" t="s">
        <v>117</v>
      </c>
      <c r="C17" s="652" t="s">
        <v>118</v>
      </c>
      <c r="D17" s="728">
        <v>274169</v>
      </c>
      <c r="E17" s="728">
        <v>14707</v>
      </c>
      <c r="F17" s="728">
        <v>0</v>
      </c>
      <c r="G17" s="728">
        <v>2843</v>
      </c>
      <c r="H17" s="728">
        <v>0</v>
      </c>
      <c r="I17" s="728">
        <v>6341</v>
      </c>
      <c r="J17" s="728">
        <v>5951</v>
      </c>
      <c r="K17" s="728">
        <v>5951</v>
      </c>
      <c r="L17" s="728">
        <v>0</v>
      </c>
      <c r="M17" s="728">
        <v>0</v>
      </c>
      <c r="N17" s="728">
        <v>0</v>
      </c>
      <c r="O17" s="728">
        <v>0</v>
      </c>
      <c r="P17" s="728">
        <v>0</v>
      </c>
      <c r="Q17" s="728">
        <v>0</v>
      </c>
      <c r="R17" s="731">
        <v>244327</v>
      </c>
      <c r="S17" s="728">
        <v>620</v>
      </c>
      <c r="T17" s="728">
        <v>17727</v>
      </c>
      <c r="U17" s="728">
        <v>35604</v>
      </c>
      <c r="V17" s="728">
        <v>190376</v>
      </c>
      <c r="W17" s="860"/>
    </row>
    <row r="18" spans="1:23" s="732" customFormat="1" x14ac:dyDescent="0.25">
      <c r="A18" s="730">
        <v>7</v>
      </c>
      <c r="B18" s="651" t="s">
        <v>20</v>
      </c>
      <c r="C18" s="652" t="s">
        <v>21</v>
      </c>
      <c r="D18" s="728">
        <v>95353</v>
      </c>
      <c r="E18" s="728">
        <v>5433</v>
      </c>
      <c r="F18" s="728">
        <v>0</v>
      </c>
      <c r="G18" s="728">
        <v>940</v>
      </c>
      <c r="H18" s="728">
        <v>0</v>
      </c>
      <c r="I18" s="728">
        <v>0</v>
      </c>
      <c r="J18" s="728">
        <v>1588</v>
      </c>
      <c r="K18" s="728">
        <v>1588</v>
      </c>
      <c r="L18" s="728">
        <v>0</v>
      </c>
      <c r="M18" s="728">
        <v>0</v>
      </c>
      <c r="N18" s="728">
        <v>0</v>
      </c>
      <c r="O18" s="728">
        <v>0</v>
      </c>
      <c r="P18" s="728">
        <v>0</v>
      </c>
      <c r="Q18" s="728">
        <v>0</v>
      </c>
      <c r="R18" s="731">
        <v>87392</v>
      </c>
      <c r="S18" s="728">
        <v>236</v>
      </c>
      <c r="T18" s="728">
        <v>8263</v>
      </c>
      <c r="U18" s="728">
        <v>22005</v>
      </c>
      <c r="V18" s="728">
        <v>56888</v>
      </c>
      <c r="W18" s="860"/>
    </row>
    <row r="19" spans="1:23" s="732" customFormat="1" x14ac:dyDescent="0.25">
      <c r="A19" s="730">
        <v>8</v>
      </c>
      <c r="B19" s="734" t="s">
        <v>119</v>
      </c>
      <c r="C19" s="652" t="s">
        <v>120</v>
      </c>
      <c r="D19" s="728">
        <v>39180</v>
      </c>
      <c r="E19" s="728">
        <v>2247</v>
      </c>
      <c r="F19" s="728">
        <v>0</v>
      </c>
      <c r="G19" s="728">
        <v>400</v>
      </c>
      <c r="H19" s="728">
        <v>0</v>
      </c>
      <c r="I19" s="728">
        <v>0</v>
      </c>
      <c r="J19" s="728">
        <v>1635</v>
      </c>
      <c r="K19" s="728">
        <v>1592</v>
      </c>
      <c r="L19" s="728">
        <v>43</v>
      </c>
      <c r="M19" s="728">
        <v>0</v>
      </c>
      <c r="N19" s="728">
        <v>0</v>
      </c>
      <c r="O19" s="728">
        <v>0</v>
      </c>
      <c r="P19" s="728">
        <v>0</v>
      </c>
      <c r="Q19" s="728">
        <v>0</v>
      </c>
      <c r="R19" s="731">
        <v>34898</v>
      </c>
      <c r="S19" s="728">
        <v>0</v>
      </c>
      <c r="T19" s="728">
        <v>2479</v>
      </c>
      <c r="U19" s="728">
        <v>7626</v>
      </c>
      <c r="V19" s="728">
        <v>24793</v>
      </c>
      <c r="W19" s="860"/>
    </row>
    <row r="20" spans="1:23" s="732" customFormat="1" x14ac:dyDescent="0.25">
      <c r="A20" s="730">
        <v>9</v>
      </c>
      <c r="B20" s="734" t="s">
        <v>121</v>
      </c>
      <c r="C20" s="652" t="s">
        <v>122</v>
      </c>
      <c r="D20" s="728">
        <v>34534</v>
      </c>
      <c r="E20" s="728">
        <v>2009</v>
      </c>
      <c r="F20" s="728">
        <v>0</v>
      </c>
      <c r="G20" s="728">
        <v>342</v>
      </c>
      <c r="H20" s="728">
        <v>0</v>
      </c>
      <c r="I20" s="728">
        <v>0</v>
      </c>
      <c r="J20" s="728">
        <v>516</v>
      </c>
      <c r="K20" s="728">
        <v>516</v>
      </c>
      <c r="L20" s="728">
        <v>0</v>
      </c>
      <c r="M20" s="728">
        <v>0</v>
      </c>
      <c r="N20" s="728">
        <v>0</v>
      </c>
      <c r="O20" s="728">
        <v>0</v>
      </c>
      <c r="P20" s="728">
        <v>0</v>
      </c>
      <c r="Q20" s="728">
        <v>0</v>
      </c>
      <c r="R20" s="731">
        <v>31667</v>
      </c>
      <c r="S20" s="728">
        <v>0</v>
      </c>
      <c r="T20" s="728">
        <v>5969</v>
      </c>
      <c r="U20" s="728">
        <v>3816</v>
      </c>
      <c r="V20" s="728">
        <v>21882</v>
      </c>
      <c r="W20" s="860"/>
    </row>
    <row r="21" spans="1:23" s="732" customFormat="1" x14ac:dyDescent="0.25">
      <c r="A21" s="730">
        <v>10</v>
      </c>
      <c r="B21" s="734" t="s">
        <v>123</v>
      </c>
      <c r="C21" s="652" t="s">
        <v>124</v>
      </c>
      <c r="D21" s="728">
        <v>45620</v>
      </c>
      <c r="E21" s="728">
        <v>2742</v>
      </c>
      <c r="F21" s="728">
        <v>0</v>
      </c>
      <c r="G21" s="728">
        <v>490</v>
      </c>
      <c r="H21" s="728">
        <v>0</v>
      </c>
      <c r="I21" s="728">
        <v>0</v>
      </c>
      <c r="J21" s="728">
        <v>824</v>
      </c>
      <c r="K21" s="728">
        <v>801</v>
      </c>
      <c r="L21" s="728">
        <v>23</v>
      </c>
      <c r="M21" s="728">
        <v>0</v>
      </c>
      <c r="N21" s="728">
        <v>0</v>
      </c>
      <c r="O21" s="728">
        <v>0</v>
      </c>
      <c r="P21" s="728">
        <v>0</v>
      </c>
      <c r="Q21" s="728">
        <v>0</v>
      </c>
      <c r="R21" s="731">
        <v>41564</v>
      </c>
      <c r="S21" s="728">
        <v>0</v>
      </c>
      <c r="T21" s="728">
        <v>3395</v>
      </c>
      <c r="U21" s="728">
        <v>9198</v>
      </c>
      <c r="V21" s="728">
        <v>28971</v>
      </c>
      <c r="W21" s="860"/>
    </row>
    <row r="22" spans="1:23" s="732" customFormat="1" x14ac:dyDescent="0.25">
      <c r="A22" s="730">
        <v>11</v>
      </c>
      <c r="B22" s="734" t="s">
        <v>125</v>
      </c>
      <c r="C22" s="652" t="s">
        <v>126</v>
      </c>
      <c r="D22" s="728">
        <v>35552</v>
      </c>
      <c r="E22" s="728">
        <v>2009</v>
      </c>
      <c r="F22" s="728">
        <v>0</v>
      </c>
      <c r="G22" s="728">
        <v>356</v>
      </c>
      <c r="H22" s="728">
        <v>0</v>
      </c>
      <c r="I22" s="728">
        <v>0</v>
      </c>
      <c r="J22" s="728">
        <v>1378</v>
      </c>
      <c r="K22" s="728">
        <v>1378</v>
      </c>
      <c r="L22" s="728">
        <v>0</v>
      </c>
      <c r="M22" s="728">
        <v>0</v>
      </c>
      <c r="N22" s="728">
        <v>0</v>
      </c>
      <c r="O22" s="728">
        <v>0</v>
      </c>
      <c r="P22" s="728">
        <v>0</v>
      </c>
      <c r="Q22" s="728">
        <v>0</v>
      </c>
      <c r="R22" s="731">
        <v>31809</v>
      </c>
      <c r="S22" s="728">
        <v>0</v>
      </c>
      <c r="T22" s="728">
        <v>4779</v>
      </c>
      <c r="U22" s="728">
        <v>3708</v>
      </c>
      <c r="V22" s="728">
        <v>23322</v>
      </c>
      <c r="W22" s="860"/>
    </row>
    <row r="23" spans="1:23" s="732" customFormat="1" x14ac:dyDescent="0.25">
      <c r="A23" s="730">
        <v>12</v>
      </c>
      <c r="B23" s="734" t="s">
        <v>127</v>
      </c>
      <c r="C23" s="652" t="s">
        <v>128</v>
      </c>
      <c r="D23" s="728">
        <v>70741</v>
      </c>
      <c r="E23" s="728">
        <v>4052</v>
      </c>
      <c r="F23" s="728">
        <v>0</v>
      </c>
      <c r="G23" s="728">
        <v>725</v>
      </c>
      <c r="H23" s="728">
        <v>0</v>
      </c>
      <c r="I23" s="728">
        <v>0</v>
      </c>
      <c r="J23" s="728">
        <v>2650</v>
      </c>
      <c r="K23" s="728">
        <v>2650</v>
      </c>
      <c r="L23" s="728">
        <v>0</v>
      </c>
      <c r="M23" s="728">
        <v>0</v>
      </c>
      <c r="N23" s="728">
        <v>0</v>
      </c>
      <c r="O23" s="728">
        <v>0</v>
      </c>
      <c r="P23" s="728">
        <v>0</v>
      </c>
      <c r="Q23" s="728">
        <v>0</v>
      </c>
      <c r="R23" s="731">
        <v>63314</v>
      </c>
      <c r="S23" s="728">
        <v>0</v>
      </c>
      <c r="T23" s="728">
        <v>2241</v>
      </c>
      <c r="U23" s="728">
        <v>22824</v>
      </c>
      <c r="V23" s="728">
        <v>38249</v>
      </c>
      <c r="W23" s="860"/>
    </row>
    <row r="24" spans="1:23" s="732" customFormat="1" x14ac:dyDescent="0.25">
      <c r="A24" s="730">
        <v>13</v>
      </c>
      <c r="B24" s="734" t="s">
        <v>131</v>
      </c>
      <c r="C24" s="652" t="s">
        <v>132</v>
      </c>
      <c r="D24" s="728">
        <v>47068</v>
      </c>
      <c r="E24" s="728">
        <v>2586</v>
      </c>
      <c r="F24" s="728">
        <v>0</v>
      </c>
      <c r="G24" s="728">
        <v>490</v>
      </c>
      <c r="H24" s="728">
        <v>0</v>
      </c>
      <c r="I24" s="728">
        <v>0</v>
      </c>
      <c r="J24" s="728">
        <v>569</v>
      </c>
      <c r="K24" s="728">
        <v>559</v>
      </c>
      <c r="L24" s="728">
        <v>10</v>
      </c>
      <c r="M24" s="728">
        <v>0</v>
      </c>
      <c r="N24" s="728">
        <v>0</v>
      </c>
      <c r="O24" s="728">
        <v>0</v>
      </c>
      <c r="P24" s="728">
        <v>0</v>
      </c>
      <c r="Q24" s="728">
        <v>0</v>
      </c>
      <c r="R24" s="731">
        <v>43423</v>
      </c>
      <c r="S24" s="728">
        <v>0</v>
      </c>
      <c r="T24" s="728">
        <v>2103</v>
      </c>
      <c r="U24" s="728">
        <v>8686</v>
      </c>
      <c r="V24" s="728">
        <v>32634</v>
      </c>
      <c r="W24" s="860"/>
    </row>
    <row r="25" spans="1:23" s="732" customFormat="1" x14ac:dyDescent="0.25">
      <c r="A25" s="730">
        <v>14</v>
      </c>
      <c r="B25" s="734" t="s">
        <v>133</v>
      </c>
      <c r="C25" s="652" t="s">
        <v>134</v>
      </c>
      <c r="D25" s="728">
        <v>67779</v>
      </c>
      <c r="E25" s="728">
        <v>3515</v>
      </c>
      <c r="F25" s="728">
        <v>0</v>
      </c>
      <c r="G25" s="728">
        <v>677</v>
      </c>
      <c r="H25" s="728">
        <v>0</v>
      </c>
      <c r="I25" s="728">
        <v>0</v>
      </c>
      <c r="J25" s="728">
        <v>1521</v>
      </c>
      <c r="K25" s="728">
        <v>1521</v>
      </c>
      <c r="L25" s="728">
        <v>0</v>
      </c>
      <c r="M25" s="728">
        <v>0</v>
      </c>
      <c r="N25" s="728">
        <v>0</v>
      </c>
      <c r="O25" s="728">
        <v>0</v>
      </c>
      <c r="P25" s="728">
        <v>0</v>
      </c>
      <c r="Q25" s="728">
        <v>0</v>
      </c>
      <c r="R25" s="731">
        <v>62066</v>
      </c>
      <c r="S25" s="728">
        <v>0</v>
      </c>
      <c r="T25" s="728">
        <v>5474</v>
      </c>
      <c r="U25" s="728">
        <v>4316</v>
      </c>
      <c r="V25" s="728">
        <v>52276</v>
      </c>
      <c r="W25" s="860"/>
    </row>
    <row r="26" spans="1:23" s="732" customFormat="1" x14ac:dyDescent="0.25">
      <c r="A26" s="730">
        <v>15</v>
      </c>
      <c r="B26" s="734" t="s">
        <v>135</v>
      </c>
      <c r="C26" s="652" t="s">
        <v>136</v>
      </c>
      <c r="D26" s="728">
        <v>90435</v>
      </c>
      <c r="E26" s="728">
        <v>4820</v>
      </c>
      <c r="F26" s="728">
        <v>0</v>
      </c>
      <c r="G26" s="728">
        <v>908</v>
      </c>
      <c r="H26" s="728">
        <v>0</v>
      </c>
      <c r="I26" s="728">
        <v>0</v>
      </c>
      <c r="J26" s="728">
        <v>1563</v>
      </c>
      <c r="K26" s="728">
        <v>1563</v>
      </c>
      <c r="L26" s="728">
        <v>0</v>
      </c>
      <c r="M26" s="728">
        <v>0</v>
      </c>
      <c r="N26" s="728">
        <v>0</v>
      </c>
      <c r="O26" s="728">
        <v>0</v>
      </c>
      <c r="P26" s="728">
        <v>0</v>
      </c>
      <c r="Q26" s="728">
        <v>0</v>
      </c>
      <c r="R26" s="731">
        <v>83144</v>
      </c>
      <c r="S26" s="728">
        <v>0</v>
      </c>
      <c r="T26" s="728">
        <v>8311</v>
      </c>
      <c r="U26" s="728">
        <v>19466</v>
      </c>
      <c r="V26" s="728">
        <v>55367</v>
      </c>
      <c r="W26" s="860"/>
    </row>
    <row r="27" spans="1:23" s="732" customFormat="1" x14ac:dyDescent="0.25">
      <c r="A27" s="730">
        <v>16</v>
      </c>
      <c r="B27" s="734" t="s">
        <v>30</v>
      </c>
      <c r="C27" s="652" t="s">
        <v>31</v>
      </c>
      <c r="D27" s="728">
        <v>168641</v>
      </c>
      <c r="E27" s="728">
        <v>9293</v>
      </c>
      <c r="F27" s="728">
        <v>6</v>
      </c>
      <c r="G27" s="728">
        <v>1759</v>
      </c>
      <c r="H27" s="728">
        <v>0</v>
      </c>
      <c r="I27" s="728">
        <v>1772</v>
      </c>
      <c r="J27" s="728">
        <v>3000</v>
      </c>
      <c r="K27" s="728">
        <v>3000</v>
      </c>
      <c r="L27" s="728">
        <v>0</v>
      </c>
      <c r="M27" s="728">
        <v>0</v>
      </c>
      <c r="N27" s="728">
        <v>0</v>
      </c>
      <c r="O27" s="728">
        <v>0</v>
      </c>
      <c r="P27" s="728">
        <v>0</v>
      </c>
      <c r="Q27" s="728">
        <v>0</v>
      </c>
      <c r="R27" s="731">
        <v>152811</v>
      </c>
      <c r="S27" s="728">
        <v>713</v>
      </c>
      <c r="T27" s="728">
        <v>13283</v>
      </c>
      <c r="U27" s="728">
        <v>32876</v>
      </c>
      <c r="V27" s="728">
        <v>105939</v>
      </c>
      <c r="W27" s="860"/>
    </row>
    <row r="28" spans="1:23" s="732" customFormat="1" x14ac:dyDescent="0.25">
      <c r="A28" s="730">
        <v>17</v>
      </c>
      <c r="B28" s="651" t="s">
        <v>137</v>
      </c>
      <c r="C28" s="652" t="s">
        <v>138</v>
      </c>
      <c r="D28" s="728">
        <v>28996</v>
      </c>
      <c r="E28" s="728">
        <v>1484</v>
      </c>
      <c r="F28" s="728">
        <v>0</v>
      </c>
      <c r="G28" s="728">
        <v>287</v>
      </c>
      <c r="H28" s="728">
        <v>0</v>
      </c>
      <c r="I28" s="728">
        <v>0</v>
      </c>
      <c r="J28" s="728">
        <v>779</v>
      </c>
      <c r="K28" s="728">
        <v>779</v>
      </c>
      <c r="L28" s="728">
        <v>0</v>
      </c>
      <c r="M28" s="728">
        <v>0</v>
      </c>
      <c r="N28" s="728">
        <v>0</v>
      </c>
      <c r="O28" s="728">
        <v>0</v>
      </c>
      <c r="P28" s="728">
        <v>0</v>
      </c>
      <c r="Q28" s="728">
        <v>0</v>
      </c>
      <c r="R28" s="731">
        <v>26446</v>
      </c>
      <c r="S28" s="728">
        <v>0</v>
      </c>
      <c r="T28" s="728">
        <v>3328</v>
      </c>
      <c r="U28" s="728">
        <v>8016</v>
      </c>
      <c r="V28" s="728">
        <v>15102</v>
      </c>
      <c r="W28" s="860"/>
    </row>
    <row r="29" spans="1:23" s="732" customFormat="1" x14ac:dyDescent="0.25">
      <c r="A29" s="730">
        <v>18</v>
      </c>
      <c r="B29" s="651" t="s">
        <v>139</v>
      </c>
      <c r="C29" s="652" t="s">
        <v>140</v>
      </c>
      <c r="D29" s="728">
        <v>21851</v>
      </c>
      <c r="E29" s="728">
        <v>1230</v>
      </c>
      <c r="F29" s="728">
        <v>0</v>
      </c>
      <c r="G29" s="728">
        <v>214</v>
      </c>
      <c r="H29" s="728">
        <v>0</v>
      </c>
      <c r="I29" s="728">
        <v>0</v>
      </c>
      <c r="J29" s="728">
        <v>348</v>
      </c>
      <c r="K29" s="728">
        <v>348</v>
      </c>
      <c r="L29" s="728">
        <v>0</v>
      </c>
      <c r="M29" s="728">
        <v>0</v>
      </c>
      <c r="N29" s="728">
        <v>0</v>
      </c>
      <c r="O29" s="728">
        <v>0</v>
      </c>
      <c r="P29" s="728">
        <v>0</v>
      </c>
      <c r="Q29" s="728">
        <v>0</v>
      </c>
      <c r="R29" s="731">
        <v>20059</v>
      </c>
      <c r="S29" s="728">
        <v>0</v>
      </c>
      <c r="T29" s="728">
        <v>4177</v>
      </c>
      <c r="U29" s="728">
        <v>904</v>
      </c>
      <c r="V29" s="728">
        <v>14978</v>
      </c>
      <c r="W29" s="860"/>
    </row>
    <row r="30" spans="1:23" s="732" customFormat="1" x14ac:dyDescent="0.25">
      <c r="A30" s="730">
        <v>19</v>
      </c>
      <c r="B30" s="651" t="s">
        <v>84</v>
      </c>
      <c r="C30" s="652" t="s">
        <v>85</v>
      </c>
      <c r="D30" s="728">
        <v>115180</v>
      </c>
      <c r="E30" s="728">
        <v>6377</v>
      </c>
      <c r="F30" s="728">
        <v>0</v>
      </c>
      <c r="G30" s="728">
        <v>1167</v>
      </c>
      <c r="H30" s="728">
        <v>0</v>
      </c>
      <c r="I30" s="728">
        <v>0</v>
      </c>
      <c r="J30" s="728">
        <v>4343</v>
      </c>
      <c r="K30" s="728">
        <v>4343</v>
      </c>
      <c r="L30" s="728">
        <v>0</v>
      </c>
      <c r="M30" s="728">
        <v>0</v>
      </c>
      <c r="N30" s="728">
        <v>0</v>
      </c>
      <c r="O30" s="728">
        <v>0</v>
      </c>
      <c r="P30" s="728">
        <v>0</v>
      </c>
      <c r="Q30" s="728">
        <v>0</v>
      </c>
      <c r="R30" s="731">
        <v>103293</v>
      </c>
      <c r="S30" s="728">
        <v>2111</v>
      </c>
      <c r="T30" s="728">
        <v>16006</v>
      </c>
      <c r="U30" s="728">
        <v>27180</v>
      </c>
      <c r="V30" s="728">
        <v>57996</v>
      </c>
      <c r="W30" s="860"/>
    </row>
    <row r="31" spans="1:23" s="732" customFormat="1" x14ac:dyDescent="0.25">
      <c r="A31" s="730">
        <v>20</v>
      </c>
      <c r="B31" s="651" t="s">
        <v>141</v>
      </c>
      <c r="C31" s="652" t="s">
        <v>142</v>
      </c>
      <c r="D31" s="728">
        <v>102817</v>
      </c>
      <c r="E31" s="728">
        <v>5465</v>
      </c>
      <c r="F31" s="728">
        <v>6</v>
      </c>
      <c r="G31" s="728">
        <v>1085</v>
      </c>
      <c r="H31" s="728">
        <v>0</v>
      </c>
      <c r="I31" s="728">
        <v>1418</v>
      </c>
      <c r="J31" s="728">
        <v>2928</v>
      </c>
      <c r="K31" s="728">
        <v>2928</v>
      </c>
      <c r="L31" s="728">
        <v>0</v>
      </c>
      <c r="M31" s="728">
        <v>0</v>
      </c>
      <c r="N31" s="728">
        <v>0</v>
      </c>
      <c r="O31" s="728">
        <v>0</v>
      </c>
      <c r="P31" s="728">
        <v>0</v>
      </c>
      <c r="Q31" s="728">
        <v>0</v>
      </c>
      <c r="R31" s="731">
        <v>91915</v>
      </c>
      <c r="S31" s="728">
        <v>0</v>
      </c>
      <c r="T31" s="728">
        <v>12582</v>
      </c>
      <c r="U31" s="728">
        <v>15689</v>
      </c>
      <c r="V31" s="728">
        <v>63644</v>
      </c>
      <c r="W31" s="860"/>
    </row>
    <row r="32" spans="1:23" s="732" customFormat="1" x14ac:dyDescent="0.25">
      <c r="A32" s="730">
        <v>21</v>
      </c>
      <c r="B32" s="734" t="s">
        <v>143</v>
      </c>
      <c r="C32" s="652" t="s">
        <v>144</v>
      </c>
      <c r="D32" s="728">
        <v>23801</v>
      </c>
      <c r="E32" s="728">
        <v>1343</v>
      </c>
      <c r="F32" s="728">
        <v>0</v>
      </c>
      <c r="G32" s="728">
        <v>244</v>
      </c>
      <c r="H32" s="728">
        <v>0</v>
      </c>
      <c r="I32" s="728">
        <v>0</v>
      </c>
      <c r="J32" s="728">
        <v>591</v>
      </c>
      <c r="K32" s="728">
        <v>591</v>
      </c>
      <c r="L32" s="728">
        <v>0</v>
      </c>
      <c r="M32" s="728">
        <v>0</v>
      </c>
      <c r="N32" s="728">
        <v>0</v>
      </c>
      <c r="O32" s="728">
        <v>0</v>
      </c>
      <c r="P32" s="728">
        <v>0</v>
      </c>
      <c r="Q32" s="728">
        <v>0</v>
      </c>
      <c r="R32" s="731">
        <v>21623</v>
      </c>
      <c r="S32" s="728">
        <v>0</v>
      </c>
      <c r="T32" s="728">
        <v>3459</v>
      </c>
      <c r="U32" s="728">
        <v>4775</v>
      </c>
      <c r="V32" s="728">
        <v>13389</v>
      </c>
      <c r="W32" s="860"/>
    </row>
    <row r="33" spans="1:23" s="732" customFormat="1" x14ac:dyDescent="0.25">
      <c r="A33" s="730">
        <v>22</v>
      </c>
      <c r="B33" s="651" t="s">
        <v>149</v>
      </c>
      <c r="C33" s="652" t="s">
        <v>150</v>
      </c>
      <c r="D33" s="728">
        <v>372839</v>
      </c>
      <c r="E33" s="728">
        <v>28065</v>
      </c>
      <c r="F33" s="728">
        <v>36</v>
      </c>
      <c r="G33" s="728">
        <v>5506</v>
      </c>
      <c r="H33" s="728">
        <v>0</v>
      </c>
      <c r="I33" s="728">
        <v>11520</v>
      </c>
      <c r="J33" s="728">
        <v>3047</v>
      </c>
      <c r="K33" s="728">
        <v>3014</v>
      </c>
      <c r="L33" s="728">
        <v>33</v>
      </c>
      <c r="M33" s="728">
        <v>0</v>
      </c>
      <c r="N33" s="728">
        <v>0</v>
      </c>
      <c r="O33" s="728">
        <v>0</v>
      </c>
      <c r="P33" s="728">
        <v>0</v>
      </c>
      <c r="Q33" s="728">
        <v>4602</v>
      </c>
      <c r="R33" s="731">
        <v>320063</v>
      </c>
      <c r="S33" s="728">
        <v>0</v>
      </c>
      <c r="T33" s="728">
        <v>52871</v>
      </c>
      <c r="U33" s="728">
        <v>11957</v>
      </c>
      <c r="V33" s="728">
        <v>255235</v>
      </c>
      <c r="W33" s="860"/>
    </row>
    <row r="34" spans="1:23" s="732" customFormat="1" ht="15.75" customHeight="1" x14ac:dyDescent="0.25">
      <c r="A34" s="730">
        <v>23</v>
      </c>
      <c r="B34" s="734" t="s">
        <v>151</v>
      </c>
      <c r="C34" s="652" t="s">
        <v>152</v>
      </c>
      <c r="D34" s="728">
        <v>74299</v>
      </c>
      <c r="E34" s="728">
        <v>0</v>
      </c>
      <c r="F34" s="728">
        <v>0</v>
      </c>
      <c r="G34" s="728">
        <v>0</v>
      </c>
      <c r="H34" s="728">
        <v>0</v>
      </c>
      <c r="I34" s="728">
        <v>0</v>
      </c>
      <c r="J34" s="728">
        <v>3492</v>
      </c>
      <c r="K34" s="728">
        <v>3492</v>
      </c>
      <c r="L34" s="728">
        <v>0</v>
      </c>
      <c r="M34" s="728">
        <v>0</v>
      </c>
      <c r="N34" s="728">
        <v>0</v>
      </c>
      <c r="O34" s="728">
        <v>0</v>
      </c>
      <c r="P34" s="728">
        <v>0</v>
      </c>
      <c r="Q34" s="728">
        <v>3599</v>
      </c>
      <c r="R34" s="731">
        <v>67208</v>
      </c>
      <c r="S34" s="728">
        <v>0</v>
      </c>
      <c r="T34" s="728">
        <v>6381</v>
      </c>
      <c r="U34" s="728">
        <v>0</v>
      </c>
      <c r="V34" s="728">
        <v>60827</v>
      </c>
      <c r="W34" s="860"/>
    </row>
    <row r="35" spans="1:23" s="732" customFormat="1" x14ac:dyDescent="0.25">
      <c r="A35" s="730">
        <v>24</v>
      </c>
      <c r="B35" s="733" t="s">
        <v>153</v>
      </c>
      <c r="C35" s="652" t="s">
        <v>154</v>
      </c>
      <c r="D35" s="728">
        <v>65442</v>
      </c>
      <c r="E35" s="728">
        <v>0</v>
      </c>
      <c r="F35" s="728">
        <v>0</v>
      </c>
      <c r="G35" s="728">
        <v>0</v>
      </c>
      <c r="H35" s="728">
        <v>0</v>
      </c>
      <c r="I35" s="728">
        <v>0</v>
      </c>
      <c r="J35" s="728">
        <v>0</v>
      </c>
      <c r="K35" s="728">
        <v>0</v>
      </c>
      <c r="L35" s="728">
        <v>0</v>
      </c>
      <c r="M35" s="728">
        <v>0</v>
      </c>
      <c r="N35" s="728">
        <v>0</v>
      </c>
      <c r="O35" s="728">
        <v>0</v>
      </c>
      <c r="P35" s="728">
        <v>0</v>
      </c>
      <c r="Q35" s="728">
        <v>0</v>
      </c>
      <c r="R35" s="731">
        <v>65442</v>
      </c>
      <c r="S35" s="728">
        <v>4583</v>
      </c>
      <c r="T35" s="728">
        <v>0</v>
      </c>
      <c r="U35" s="728">
        <v>60859</v>
      </c>
      <c r="V35" s="728">
        <v>0</v>
      </c>
      <c r="W35" s="860"/>
    </row>
    <row r="36" spans="1:23" s="732" customFormat="1" x14ac:dyDescent="0.25">
      <c r="A36" s="730">
        <v>25</v>
      </c>
      <c r="B36" s="733" t="s">
        <v>157</v>
      </c>
      <c r="C36" s="652" t="s">
        <v>158</v>
      </c>
      <c r="D36" s="728">
        <v>138117</v>
      </c>
      <c r="E36" s="728">
        <v>7811</v>
      </c>
      <c r="F36" s="728">
        <v>0</v>
      </c>
      <c r="G36" s="728">
        <v>1421</v>
      </c>
      <c r="H36" s="728">
        <v>0</v>
      </c>
      <c r="I36" s="728">
        <v>2183</v>
      </c>
      <c r="J36" s="728">
        <v>1428</v>
      </c>
      <c r="K36" s="728">
        <v>1428</v>
      </c>
      <c r="L36" s="728">
        <v>0</v>
      </c>
      <c r="M36" s="728">
        <v>0</v>
      </c>
      <c r="N36" s="728">
        <v>0</v>
      </c>
      <c r="O36" s="728">
        <v>0</v>
      </c>
      <c r="P36" s="728">
        <v>0</v>
      </c>
      <c r="Q36" s="728">
        <v>0</v>
      </c>
      <c r="R36" s="731">
        <v>125274</v>
      </c>
      <c r="S36" s="728">
        <v>2329</v>
      </c>
      <c r="T36" s="728">
        <v>15666</v>
      </c>
      <c r="U36" s="728">
        <v>18618</v>
      </c>
      <c r="V36" s="728">
        <v>88661</v>
      </c>
      <c r="W36" s="860"/>
    </row>
    <row r="37" spans="1:23" s="732" customFormat="1" x14ac:dyDescent="0.25">
      <c r="A37" s="730">
        <v>26</v>
      </c>
      <c r="B37" s="651" t="s">
        <v>46</v>
      </c>
      <c r="C37" s="652" t="s">
        <v>47</v>
      </c>
      <c r="D37" s="728">
        <v>209525</v>
      </c>
      <c r="E37" s="728">
        <v>11730</v>
      </c>
      <c r="F37" s="728">
        <v>0</v>
      </c>
      <c r="G37" s="728">
        <v>2282</v>
      </c>
      <c r="H37" s="728">
        <v>0</v>
      </c>
      <c r="I37" s="728">
        <v>1360</v>
      </c>
      <c r="J37" s="728">
        <v>2969</v>
      </c>
      <c r="K37" s="728">
        <v>2969</v>
      </c>
      <c r="L37" s="728">
        <v>0</v>
      </c>
      <c r="M37" s="728">
        <v>0</v>
      </c>
      <c r="N37" s="728">
        <v>0</v>
      </c>
      <c r="O37" s="728">
        <v>0</v>
      </c>
      <c r="P37" s="728">
        <v>0</v>
      </c>
      <c r="Q37" s="728">
        <v>0</v>
      </c>
      <c r="R37" s="731">
        <v>191184</v>
      </c>
      <c r="S37" s="728">
        <v>3381</v>
      </c>
      <c r="T37" s="728">
        <v>16632</v>
      </c>
      <c r="U37" s="728">
        <v>43119</v>
      </c>
      <c r="V37" s="728">
        <v>128052</v>
      </c>
      <c r="W37" s="860"/>
    </row>
    <row r="38" spans="1:23" s="732" customFormat="1" x14ac:dyDescent="0.25">
      <c r="A38" s="730">
        <v>27</v>
      </c>
      <c r="B38" s="733" t="s">
        <v>159</v>
      </c>
      <c r="C38" s="652" t="s">
        <v>160</v>
      </c>
      <c r="D38" s="728">
        <v>39739</v>
      </c>
      <c r="E38" s="728">
        <v>2214</v>
      </c>
      <c r="F38" s="728">
        <v>0</v>
      </c>
      <c r="G38" s="728">
        <v>392</v>
      </c>
      <c r="H38" s="728">
        <v>0</v>
      </c>
      <c r="I38" s="728">
        <v>0</v>
      </c>
      <c r="J38" s="728">
        <v>586</v>
      </c>
      <c r="K38" s="728">
        <v>586</v>
      </c>
      <c r="L38" s="728">
        <v>0</v>
      </c>
      <c r="M38" s="728">
        <v>0</v>
      </c>
      <c r="N38" s="728">
        <v>0</v>
      </c>
      <c r="O38" s="728">
        <v>0</v>
      </c>
      <c r="P38" s="728">
        <v>0</v>
      </c>
      <c r="Q38" s="728">
        <v>0</v>
      </c>
      <c r="R38" s="731">
        <v>36547</v>
      </c>
      <c r="S38" s="728">
        <v>0</v>
      </c>
      <c r="T38" s="728">
        <v>3118</v>
      </c>
      <c r="U38" s="728">
        <v>7670</v>
      </c>
      <c r="V38" s="728">
        <v>25759</v>
      </c>
      <c r="W38" s="860"/>
    </row>
    <row r="39" spans="1:23" s="732" customFormat="1" x14ac:dyDescent="0.25">
      <c r="A39" s="730">
        <v>28</v>
      </c>
      <c r="B39" s="734" t="s">
        <v>58</v>
      </c>
      <c r="C39" s="652" t="s">
        <v>59</v>
      </c>
      <c r="D39" s="728">
        <v>140021</v>
      </c>
      <c r="E39" s="728">
        <v>7927</v>
      </c>
      <c r="F39" s="728">
        <v>3</v>
      </c>
      <c r="G39" s="728">
        <v>1463</v>
      </c>
      <c r="H39" s="728">
        <v>0</v>
      </c>
      <c r="I39" s="728">
        <v>0</v>
      </c>
      <c r="J39" s="728">
        <v>4018</v>
      </c>
      <c r="K39" s="728">
        <v>3977</v>
      </c>
      <c r="L39" s="728">
        <v>41</v>
      </c>
      <c r="M39" s="728">
        <v>0</v>
      </c>
      <c r="N39" s="728">
        <v>0</v>
      </c>
      <c r="O39" s="728">
        <v>0</v>
      </c>
      <c r="P39" s="728">
        <v>0</v>
      </c>
      <c r="Q39" s="728">
        <v>0</v>
      </c>
      <c r="R39" s="731">
        <v>126610</v>
      </c>
      <c r="S39" s="728">
        <v>0</v>
      </c>
      <c r="T39" s="728">
        <v>5618</v>
      </c>
      <c r="U39" s="728">
        <v>37434</v>
      </c>
      <c r="V39" s="728">
        <v>83558</v>
      </c>
      <c r="W39" s="860"/>
    </row>
    <row r="40" spans="1:23" s="732" customFormat="1" x14ac:dyDescent="0.25">
      <c r="A40" s="730">
        <v>29</v>
      </c>
      <c r="B40" s="733" t="s">
        <v>161</v>
      </c>
      <c r="C40" s="652" t="s">
        <v>162</v>
      </c>
      <c r="D40" s="728">
        <v>52212</v>
      </c>
      <c r="E40" s="728">
        <v>2915</v>
      </c>
      <c r="F40" s="728">
        <v>3</v>
      </c>
      <c r="G40" s="728">
        <v>518</v>
      </c>
      <c r="H40" s="728">
        <v>0</v>
      </c>
      <c r="I40" s="728">
        <v>0</v>
      </c>
      <c r="J40" s="728">
        <v>1612</v>
      </c>
      <c r="K40" s="728">
        <v>1612</v>
      </c>
      <c r="L40" s="728">
        <v>0</v>
      </c>
      <c r="M40" s="728">
        <v>0</v>
      </c>
      <c r="N40" s="728">
        <v>0</v>
      </c>
      <c r="O40" s="728">
        <v>0</v>
      </c>
      <c r="P40" s="728">
        <v>0</v>
      </c>
      <c r="Q40" s="728">
        <v>0</v>
      </c>
      <c r="R40" s="731">
        <v>47164</v>
      </c>
      <c r="S40" s="728">
        <v>0</v>
      </c>
      <c r="T40" s="728">
        <v>3991</v>
      </c>
      <c r="U40" s="728">
        <v>13843</v>
      </c>
      <c r="V40" s="728">
        <v>29330</v>
      </c>
      <c r="W40" s="860"/>
    </row>
    <row r="41" spans="1:23" s="732" customFormat="1" x14ac:dyDescent="0.25">
      <c r="A41" s="730">
        <v>30</v>
      </c>
      <c r="B41" s="651" t="s">
        <v>82</v>
      </c>
      <c r="C41" s="652" t="s">
        <v>83</v>
      </c>
      <c r="D41" s="728">
        <v>135711</v>
      </c>
      <c r="E41" s="728">
        <v>7596</v>
      </c>
      <c r="F41" s="728">
        <v>0</v>
      </c>
      <c r="G41" s="728">
        <v>1430</v>
      </c>
      <c r="H41" s="728">
        <v>0</v>
      </c>
      <c r="I41" s="728">
        <v>0</v>
      </c>
      <c r="J41" s="728">
        <v>4297</v>
      </c>
      <c r="K41" s="728">
        <v>4297</v>
      </c>
      <c r="L41" s="728">
        <v>0</v>
      </c>
      <c r="M41" s="728">
        <v>0</v>
      </c>
      <c r="N41" s="728">
        <v>0</v>
      </c>
      <c r="O41" s="728">
        <v>0</v>
      </c>
      <c r="P41" s="728">
        <v>0</v>
      </c>
      <c r="Q41" s="728">
        <v>0</v>
      </c>
      <c r="R41" s="731">
        <v>122388</v>
      </c>
      <c r="S41" s="728">
        <v>0</v>
      </c>
      <c r="T41" s="728">
        <v>9258</v>
      </c>
      <c r="U41" s="728">
        <v>21400</v>
      </c>
      <c r="V41" s="728">
        <v>91730</v>
      </c>
      <c r="W41" s="860"/>
    </row>
    <row r="42" spans="1:23" s="732" customFormat="1" x14ac:dyDescent="0.25">
      <c r="A42" s="730">
        <v>31</v>
      </c>
      <c r="B42" s="735" t="s">
        <v>163</v>
      </c>
      <c r="C42" s="736" t="s">
        <v>164</v>
      </c>
      <c r="D42" s="728">
        <v>46924</v>
      </c>
      <c r="E42" s="728">
        <v>2645</v>
      </c>
      <c r="F42" s="728">
        <v>0</v>
      </c>
      <c r="G42" s="728">
        <v>463</v>
      </c>
      <c r="H42" s="728">
        <v>0</v>
      </c>
      <c r="I42" s="728">
        <v>0</v>
      </c>
      <c r="J42" s="728">
        <v>882</v>
      </c>
      <c r="K42" s="728">
        <v>882</v>
      </c>
      <c r="L42" s="728">
        <v>0</v>
      </c>
      <c r="M42" s="728">
        <v>0</v>
      </c>
      <c r="N42" s="728">
        <v>0</v>
      </c>
      <c r="O42" s="728">
        <v>0</v>
      </c>
      <c r="P42" s="728">
        <v>0</v>
      </c>
      <c r="Q42" s="728">
        <v>0</v>
      </c>
      <c r="R42" s="731">
        <v>42934</v>
      </c>
      <c r="S42" s="728">
        <v>0</v>
      </c>
      <c r="T42" s="728">
        <v>3646</v>
      </c>
      <c r="U42" s="728">
        <v>11337</v>
      </c>
      <c r="V42" s="728">
        <v>27951</v>
      </c>
      <c r="W42" s="860"/>
    </row>
    <row r="43" spans="1:23" s="732" customFormat="1" x14ac:dyDescent="0.25">
      <c r="A43" s="730">
        <v>32</v>
      </c>
      <c r="B43" s="651" t="s">
        <v>165</v>
      </c>
      <c r="C43" s="652" t="s">
        <v>166</v>
      </c>
      <c r="D43" s="728">
        <v>29488</v>
      </c>
      <c r="E43" s="728">
        <v>1748</v>
      </c>
      <c r="F43" s="728">
        <v>0</v>
      </c>
      <c r="G43" s="728">
        <v>278</v>
      </c>
      <c r="H43" s="728">
        <v>0</v>
      </c>
      <c r="I43" s="728">
        <v>0</v>
      </c>
      <c r="J43" s="728">
        <v>1844</v>
      </c>
      <c r="K43" s="728">
        <v>1844</v>
      </c>
      <c r="L43" s="728">
        <v>0</v>
      </c>
      <c r="M43" s="728">
        <v>0</v>
      </c>
      <c r="N43" s="728">
        <v>0</v>
      </c>
      <c r="O43" s="728">
        <v>0</v>
      </c>
      <c r="P43" s="728">
        <v>0</v>
      </c>
      <c r="Q43" s="728">
        <v>0</v>
      </c>
      <c r="R43" s="731">
        <v>25618</v>
      </c>
      <c r="S43" s="728">
        <v>0</v>
      </c>
      <c r="T43" s="728">
        <v>1851</v>
      </c>
      <c r="U43" s="728">
        <v>7484</v>
      </c>
      <c r="V43" s="728">
        <v>16283</v>
      </c>
      <c r="W43" s="860"/>
    </row>
    <row r="44" spans="1:23" s="732" customFormat="1" x14ac:dyDescent="0.25">
      <c r="A44" s="730">
        <v>33</v>
      </c>
      <c r="B44" s="651" t="s">
        <v>86</v>
      </c>
      <c r="C44" s="652" t="s">
        <v>87</v>
      </c>
      <c r="D44" s="728">
        <v>51037</v>
      </c>
      <c r="E44" s="728">
        <v>2993</v>
      </c>
      <c r="F44" s="728">
        <v>0</v>
      </c>
      <c r="G44" s="728">
        <v>494</v>
      </c>
      <c r="H44" s="728">
        <v>0</v>
      </c>
      <c r="I44" s="728">
        <v>0</v>
      </c>
      <c r="J44" s="728">
        <v>1824</v>
      </c>
      <c r="K44" s="728">
        <v>1824</v>
      </c>
      <c r="L44" s="728">
        <v>0</v>
      </c>
      <c r="M44" s="728">
        <v>0</v>
      </c>
      <c r="N44" s="728">
        <v>0</v>
      </c>
      <c r="O44" s="728">
        <v>0</v>
      </c>
      <c r="P44" s="728">
        <v>0</v>
      </c>
      <c r="Q44" s="728">
        <v>0</v>
      </c>
      <c r="R44" s="731">
        <v>45726</v>
      </c>
      <c r="S44" s="728">
        <v>0</v>
      </c>
      <c r="T44" s="728">
        <v>7186</v>
      </c>
      <c r="U44" s="728">
        <v>9634</v>
      </c>
      <c r="V44" s="728">
        <v>28906</v>
      </c>
      <c r="W44" s="860"/>
    </row>
    <row r="45" spans="1:23" s="732" customFormat="1" x14ac:dyDescent="0.25">
      <c r="A45" s="730">
        <v>34</v>
      </c>
      <c r="B45" s="734" t="s">
        <v>167</v>
      </c>
      <c r="C45" s="652" t="s">
        <v>168</v>
      </c>
      <c r="D45" s="728">
        <v>23289</v>
      </c>
      <c r="E45" s="728">
        <v>1427</v>
      </c>
      <c r="F45" s="728">
        <v>0</v>
      </c>
      <c r="G45" s="728">
        <v>225</v>
      </c>
      <c r="H45" s="728">
        <v>0</v>
      </c>
      <c r="I45" s="728">
        <v>0</v>
      </c>
      <c r="J45" s="728">
        <v>576</v>
      </c>
      <c r="K45" s="728">
        <v>576</v>
      </c>
      <c r="L45" s="728">
        <v>0</v>
      </c>
      <c r="M45" s="728">
        <v>0</v>
      </c>
      <c r="N45" s="728">
        <v>0</v>
      </c>
      <c r="O45" s="728">
        <v>0</v>
      </c>
      <c r="P45" s="728">
        <v>0</v>
      </c>
      <c r="Q45" s="728">
        <v>0</v>
      </c>
      <c r="R45" s="731">
        <v>21061</v>
      </c>
      <c r="S45" s="728">
        <v>0</v>
      </c>
      <c r="T45" s="728">
        <v>3843</v>
      </c>
      <c r="U45" s="728">
        <v>3981</v>
      </c>
      <c r="V45" s="728">
        <v>13237</v>
      </c>
      <c r="W45" s="860"/>
    </row>
    <row r="46" spans="1:23" s="732" customFormat="1" x14ac:dyDescent="0.25">
      <c r="A46" s="730">
        <v>35</v>
      </c>
      <c r="B46" s="733" t="s">
        <v>169</v>
      </c>
      <c r="C46" s="652" t="s">
        <v>170</v>
      </c>
      <c r="D46" s="728">
        <v>19972</v>
      </c>
      <c r="E46" s="728">
        <v>2071</v>
      </c>
      <c r="F46" s="728">
        <v>6</v>
      </c>
      <c r="G46" s="728">
        <v>350</v>
      </c>
      <c r="H46" s="728">
        <v>0</v>
      </c>
      <c r="I46" s="728">
        <v>0</v>
      </c>
      <c r="J46" s="728">
        <v>0</v>
      </c>
      <c r="K46" s="728">
        <v>0</v>
      </c>
      <c r="L46" s="728">
        <v>0</v>
      </c>
      <c r="M46" s="728">
        <v>0</v>
      </c>
      <c r="N46" s="728">
        <v>0</v>
      </c>
      <c r="O46" s="728">
        <v>0</v>
      </c>
      <c r="P46" s="728">
        <v>0</v>
      </c>
      <c r="Q46" s="728">
        <v>0</v>
      </c>
      <c r="R46" s="731">
        <v>17545</v>
      </c>
      <c r="S46" s="728">
        <v>0</v>
      </c>
      <c r="T46" s="728">
        <v>825</v>
      </c>
      <c r="U46" s="728">
        <v>1770</v>
      </c>
      <c r="V46" s="728">
        <v>14950</v>
      </c>
      <c r="W46" s="860"/>
    </row>
    <row r="47" spans="1:23" s="732" customFormat="1" x14ac:dyDescent="0.25">
      <c r="A47" s="730">
        <v>36</v>
      </c>
      <c r="B47" s="734" t="s">
        <v>171</v>
      </c>
      <c r="C47" s="652" t="s">
        <v>172</v>
      </c>
      <c r="D47" s="728">
        <v>188875</v>
      </c>
      <c r="E47" s="728">
        <v>10063</v>
      </c>
      <c r="F47" s="728">
        <v>0</v>
      </c>
      <c r="G47" s="728">
        <v>1932</v>
      </c>
      <c r="H47" s="728">
        <v>0</v>
      </c>
      <c r="I47" s="728">
        <v>6782</v>
      </c>
      <c r="J47" s="728">
        <v>3875</v>
      </c>
      <c r="K47" s="728">
        <v>3875</v>
      </c>
      <c r="L47" s="728">
        <v>0</v>
      </c>
      <c r="M47" s="728">
        <v>0</v>
      </c>
      <c r="N47" s="728">
        <v>0</v>
      </c>
      <c r="O47" s="728">
        <v>0</v>
      </c>
      <c r="P47" s="728">
        <v>0</v>
      </c>
      <c r="Q47" s="728">
        <v>0</v>
      </c>
      <c r="R47" s="731">
        <v>166223</v>
      </c>
      <c r="S47" s="728">
        <v>7583</v>
      </c>
      <c r="T47" s="728">
        <v>14829</v>
      </c>
      <c r="U47" s="728">
        <v>26453</v>
      </c>
      <c r="V47" s="728">
        <v>117358</v>
      </c>
      <c r="W47" s="860"/>
    </row>
    <row r="48" spans="1:23" s="732" customFormat="1" x14ac:dyDescent="0.25">
      <c r="A48" s="730">
        <v>37</v>
      </c>
      <c r="B48" s="651" t="s">
        <v>78</v>
      </c>
      <c r="C48" s="652" t="s">
        <v>79</v>
      </c>
      <c r="D48" s="728">
        <v>42387</v>
      </c>
      <c r="E48" s="728">
        <v>2459</v>
      </c>
      <c r="F48" s="728">
        <v>0</v>
      </c>
      <c r="G48" s="728">
        <v>405</v>
      </c>
      <c r="H48" s="728">
        <v>0</v>
      </c>
      <c r="I48" s="728">
        <v>0</v>
      </c>
      <c r="J48" s="728">
        <v>1391</v>
      </c>
      <c r="K48" s="728">
        <v>1313</v>
      </c>
      <c r="L48" s="728">
        <v>78</v>
      </c>
      <c r="M48" s="728">
        <v>0</v>
      </c>
      <c r="N48" s="728">
        <v>0</v>
      </c>
      <c r="O48" s="728">
        <v>0</v>
      </c>
      <c r="P48" s="728">
        <v>0</v>
      </c>
      <c r="Q48" s="728">
        <v>0</v>
      </c>
      <c r="R48" s="731">
        <v>38132</v>
      </c>
      <c r="S48" s="728">
        <v>0</v>
      </c>
      <c r="T48" s="728">
        <v>4023</v>
      </c>
      <c r="U48" s="728">
        <v>6608</v>
      </c>
      <c r="V48" s="728">
        <v>27501</v>
      </c>
      <c r="W48" s="860"/>
    </row>
    <row r="49" spans="1:23" s="732" customFormat="1" ht="10.5" customHeight="1" x14ac:dyDescent="0.25">
      <c r="A49" s="730">
        <v>38</v>
      </c>
      <c r="B49" s="651" t="s">
        <v>173</v>
      </c>
      <c r="C49" s="652" t="s">
        <v>174</v>
      </c>
      <c r="D49" s="728">
        <v>144122</v>
      </c>
      <c r="E49" s="728">
        <v>8172</v>
      </c>
      <c r="F49" s="728">
        <v>0</v>
      </c>
      <c r="G49" s="728">
        <v>1480</v>
      </c>
      <c r="H49" s="728">
        <v>0</v>
      </c>
      <c r="I49" s="728">
        <v>1009</v>
      </c>
      <c r="J49" s="728">
        <v>683</v>
      </c>
      <c r="K49" s="728">
        <v>683</v>
      </c>
      <c r="L49" s="728">
        <v>0</v>
      </c>
      <c r="M49" s="728">
        <v>0</v>
      </c>
      <c r="N49" s="728">
        <v>0</v>
      </c>
      <c r="O49" s="728">
        <v>0</v>
      </c>
      <c r="P49" s="728">
        <v>0</v>
      </c>
      <c r="Q49" s="728">
        <v>0</v>
      </c>
      <c r="R49" s="731">
        <v>132778</v>
      </c>
      <c r="S49" s="728">
        <v>0</v>
      </c>
      <c r="T49" s="728">
        <v>14309</v>
      </c>
      <c r="U49" s="728">
        <v>16200</v>
      </c>
      <c r="V49" s="728">
        <v>102269</v>
      </c>
      <c r="W49" s="860"/>
    </row>
    <row r="50" spans="1:23" s="732" customFormat="1" x14ac:dyDescent="0.25">
      <c r="A50" s="730">
        <v>39</v>
      </c>
      <c r="B50" s="734" t="s">
        <v>175</v>
      </c>
      <c r="C50" s="652" t="s">
        <v>176</v>
      </c>
      <c r="D50" s="728">
        <v>31622</v>
      </c>
      <c r="E50" s="728">
        <v>1841</v>
      </c>
      <c r="F50" s="728">
        <v>0</v>
      </c>
      <c r="G50" s="728">
        <v>290</v>
      </c>
      <c r="H50" s="728">
        <v>0</v>
      </c>
      <c r="I50" s="728">
        <v>0</v>
      </c>
      <c r="J50" s="728">
        <v>544</v>
      </c>
      <c r="K50" s="728">
        <v>519</v>
      </c>
      <c r="L50" s="728">
        <v>25</v>
      </c>
      <c r="M50" s="728">
        <v>0</v>
      </c>
      <c r="N50" s="728">
        <v>0</v>
      </c>
      <c r="O50" s="728">
        <v>0</v>
      </c>
      <c r="P50" s="728">
        <v>0</v>
      </c>
      <c r="Q50" s="728">
        <v>0</v>
      </c>
      <c r="R50" s="731">
        <v>28947</v>
      </c>
      <c r="S50" s="728">
        <v>0</v>
      </c>
      <c r="T50" s="728">
        <v>2884</v>
      </c>
      <c r="U50" s="728">
        <v>5975</v>
      </c>
      <c r="V50" s="728">
        <v>20088</v>
      </c>
      <c r="W50" s="860"/>
    </row>
    <row r="51" spans="1:23" s="732" customFormat="1" x14ac:dyDescent="0.25">
      <c r="A51" s="730">
        <v>40</v>
      </c>
      <c r="B51" s="734" t="s">
        <v>42</v>
      </c>
      <c r="C51" s="652" t="s">
        <v>43</v>
      </c>
      <c r="D51" s="728">
        <v>50773</v>
      </c>
      <c r="E51" s="728">
        <v>2931</v>
      </c>
      <c r="F51" s="728">
        <v>3</v>
      </c>
      <c r="G51" s="728">
        <v>494</v>
      </c>
      <c r="H51" s="728">
        <v>0</v>
      </c>
      <c r="I51" s="728">
        <v>0</v>
      </c>
      <c r="J51" s="728">
        <v>1032</v>
      </c>
      <c r="K51" s="728">
        <v>1032</v>
      </c>
      <c r="L51" s="728">
        <v>0</v>
      </c>
      <c r="M51" s="728">
        <v>0</v>
      </c>
      <c r="N51" s="728">
        <v>0</v>
      </c>
      <c r="O51" s="728">
        <v>0</v>
      </c>
      <c r="P51" s="728">
        <v>0</v>
      </c>
      <c r="Q51" s="728">
        <v>0</v>
      </c>
      <c r="R51" s="731">
        <v>46313</v>
      </c>
      <c r="S51" s="728">
        <v>0</v>
      </c>
      <c r="T51" s="728">
        <v>3226</v>
      </c>
      <c r="U51" s="728">
        <v>10373</v>
      </c>
      <c r="V51" s="728">
        <v>32714</v>
      </c>
      <c r="W51" s="860"/>
    </row>
    <row r="52" spans="1:23" s="732" customFormat="1" x14ac:dyDescent="0.25">
      <c r="A52" s="730">
        <v>41</v>
      </c>
      <c r="B52" s="733" t="s">
        <v>177</v>
      </c>
      <c r="C52" s="652" t="s">
        <v>178</v>
      </c>
      <c r="D52" s="728">
        <v>60358</v>
      </c>
      <c r="E52" s="728">
        <v>3433</v>
      </c>
      <c r="F52" s="728">
        <v>0</v>
      </c>
      <c r="G52" s="728">
        <v>605</v>
      </c>
      <c r="H52" s="728">
        <v>0</v>
      </c>
      <c r="I52" s="728">
        <v>0</v>
      </c>
      <c r="J52" s="728">
        <v>1748</v>
      </c>
      <c r="K52" s="728">
        <v>1748</v>
      </c>
      <c r="L52" s="728">
        <v>0</v>
      </c>
      <c r="M52" s="728">
        <v>0</v>
      </c>
      <c r="N52" s="728">
        <v>0</v>
      </c>
      <c r="O52" s="728">
        <v>0</v>
      </c>
      <c r="P52" s="728">
        <v>0</v>
      </c>
      <c r="Q52" s="728">
        <v>0</v>
      </c>
      <c r="R52" s="731">
        <v>54572</v>
      </c>
      <c r="S52" s="728">
        <v>0</v>
      </c>
      <c r="T52" s="728">
        <v>5380</v>
      </c>
      <c r="U52" s="728">
        <v>9067</v>
      </c>
      <c r="V52" s="728">
        <v>40125</v>
      </c>
      <c r="W52" s="860"/>
    </row>
    <row r="53" spans="1:23" s="732" customFormat="1" ht="10.5" customHeight="1" x14ac:dyDescent="0.25">
      <c r="A53" s="730">
        <v>42</v>
      </c>
      <c r="B53" s="734" t="s">
        <v>179</v>
      </c>
      <c r="C53" s="652" t="s">
        <v>180</v>
      </c>
      <c r="D53" s="728">
        <v>19915</v>
      </c>
      <c r="E53" s="728">
        <v>1204</v>
      </c>
      <c r="F53" s="728">
        <v>0</v>
      </c>
      <c r="G53" s="728">
        <v>183</v>
      </c>
      <c r="H53" s="728">
        <v>0</v>
      </c>
      <c r="I53" s="728">
        <v>0</v>
      </c>
      <c r="J53" s="728">
        <v>259</v>
      </c>
      <c r="K53" s="728">
        <v>247</v>
      </c>
      <c r="L53" s="728">
        <v>12</v>
      </c>
      <c r="M53" s="728">
        <v>0</v>
      </c>
      <c r="N53" s="728">
        <v>0</v>
      </c>
      <c r="O53" s="728">
        <v>0</v>
      </c>
      <c r="P53" s="728">
        <v>0</v>
      </c>
      <c r="Q53" s="728">
        <v>0</v>
      </c>
      <c r="R53" s="731">
        <v>18269</v>
      </c>
      <c r="S53" s="728">
        <v>0</v>
      </c>
      <c r="T53" s="728">
        <v>2707</v>
      </c>
      <c r="U53" s="728">
        <v>3910</v>
      </c>
      <c r="V53" s="728">
        <v>11652</v>
      </c>
      <c r="W53" s="860"/>
    </row>
    <row r="54" spans="1:23" s="732" customFormat="1" x14ac:dyDescent="0.25">
      <c r="A54" s="730">
        <v>43</v>
      </c>
      <c r="B54" s="733" t="s">
        <v>181</v>
      </c>
      <c r="C54" s="652" t="s">
        <v>182</v>
      </c>
      <c r="D54" s="728">
        <v>40145</v>
      </c>
      <c r="E54" s="728">
        <v>2314</v>
      </c>
      <c r="F54" s="728">
        <v>6</v>
      </c>
      <c r="G54" s="728">
        <v>368</v>
      </c>
      <c r="H54" s="728">
        <v>0</v>
      </c>
      <c r="I54" s="728">
        <v>0</v>
      </c>
      <c r="J54" s="728">
        <v>1190</v>
      </c>
      <c r="K54" s="728">
        <v>1190</v>
      </c>
      <c r="L54" s="728">
        <v>0</v>
      </c>
      <c r="M54" s="728">
        <v>0</v>
      </c>
      <c r="N54" s="728">
        <v>0</v>
      </c>
      <c r="O54" s="728">
        <v>0</v>
      </c>
      <c r="P54" s="728">
        <v>0</v>
      </c>
      <c r="Q54" s="728">
        <v>0</v>
      </c>
      <c r="R54" s="731">
        <v>36267</v>
      </c>
      <c r="S54" s="728">
        <v>0</v>
      </c>
      <c r="T54" s="728">
        <v>3459</v>
      </c>
      <c r="U54" s="728">
        <v>9070</v>
      </c>
      <c r="V54" s="728">
        <v>23738</v>
      </c>
      <c r="W54" s="860"/>
    </row>
    <row r="55" spans="1:23" s="732" customFormat="1" x14ac:dyDescent="0.25">
      <c r="A55" s="730">
        <v>44</v>
      </c>
      <c r="B55" s="734" t="s">
        <v>183</v>
      </c>
      <c r="C55" s="652" t="s">
        <v>184</v>
      </c>
      <c r="D55" s="728">
        <v>62252</v>
      </c>
      <c r="E55" s="728">
        <v>3614</v>
      </c>
      <c r="F55" s="728">
        <v>0</v>
      </c>
      <c r="G55" s="728">
        <v>625</v>
      </c>
      <c r="H55" s="728">
        <v>0</v>
      </c>
      <c r="I55" s="728">
        <v>0</v>
      </c>
      <c r="J55" s="728">
        <v>1357</v>
      </c>
      <c r="K55" s="728">
        <v>1357</v>
      </c>
      <c r="L55" s="728">
        <v>0</v>
      </c>
      <c r="M55" s="728">
        <v>0</v>
      </c>
      <c r="N55" s="728">
        <v>0</v>
      </c>
      <c r="O55" s="728">
        <v>0</v>
      </c>
      <c r="P55" s="728">
        <v>0</v>
      </c>
      <c r="Q55" s="728">
        <v>0</v>
      </c>
      <c r="R55" s="731">
        <v>56656</v>
      </c>
      <c r="S55" s="728">
        <v>0</v>
      </c>
      <c r="T55" s="728">
        <v>4659</v>
      </c>
      <c r="U55" s="728">
        <v>13700</v>
      </c>
      <c r="V55" s="728">
        <v>38297</v>
      </c>
      <c r="W55" s="860"/>
    </row>
    <row r="56" spans="1:23" s="732" customFormat="1" x14ac:dyDescent="0.25">
      <c r="A56" s="730">
        <v>45</v>
      </c>
      <c r="B56" s="734" t="s">
        <v>185</v>
      </c>
      <c r="C56" s="652" t="s">
        <v>186</v>
      </c>
      <c r="D56" s="728">
        <v>215512</v>
      </c>
      <c r="E56" s="728">
        <v>11999</v>
      </c>
      <c r="F56" s="728">
        <v>66</v>
      </c>
      <c r="G56" s="728">
        <v>2262</v>
      </c>
      <c r="H56" s="728">
        <v>0</v>
      </c>
      <c r="I56" s="728">
        <v>0</v>
      </c>
      <c r="J56" s="728">
        <v>4534</v>
      </c>
      <c r="K56" s="728">
        <v>4523</v>
      </c>
      <c r="L56" s="728">
        <v>11</v>
      </c>
      <c r="M56" s="728">
        <v>0</v>
      </c>
      <c r="N56" s="728">
        <v>0</v>
      </c>
      <c r="O56" s="728">
        <v>0</v>
      </c>
      <c r="P56" s="728">
        <v>0</v>
      </c>
      <c r="Q56" s="728">
        <v>0</v>
      </c>
      <c r="R56" s="731">
        <v>196651</v>
      </c>
      <c r="S56" s="728">
        <v>6004</v>
      </c>
      <c r="T56" s="728">
        <v>15378</v>
      </c>
      <c r="U56" s="728">
        <v>25579</v>
      </c>
      <c r="V56" s="728">
        <v>149690</v>
      </c>
      <c r="W56" s="860"/>
    </row>
    <row r="57" spans="1:23" s="732" customFormat="1" x14ac:dyDescent="0.25">
      <c r="A57" s="730">
        <v>46</v>
      </c>
      <c r="B57" s="734" t="s">
        <v>187</v>
      </c>
      <c r="C57" s="652" t="s">
        <v>188</v>
      </c>
      <c r="D57" s="728">
        <v>33086</v>
      </c>
      <c r="E57" s="728">
        <v>1937</v>
      </c>
      <c r="F57" s="728">
        <v>0</v>
      </c>
      <c r="G57" s="728">
        <v>337</v>
      </c>
      <c r="H57" s="728">
        <v>0</v>
      </c>
      <c r="I57" s="728">
        <v>0</v>
      </c>
      <c r="J57" s="728">
        <v>387</v>
      </c>
      <c r="K57" s="728">
        <v>342</v>
      </c>
      <c r="L57" s="728">
        <v>45</v>
      </c>
      <c r="M57" s="728">
        <v>0</v>
      </c>
      <c r="N57" s="728">
        <v>0</v>
      </c>
      <c r="O57" s="728">
        <v>0</v>
      </c>
      <c r="P57" s="728">
        <v>0</v>
      </c>
      <c r="Q57" s="728">
        <v>0</v>
      </c>
      <c r="R57" s="731">
        <v>30425</v>
      </c>
      <c r="S57" s="728">
        <v>0</v>
      </c>
      <c r="T57" s="728">
        <v>4172</v>
      </c>
      <c r="U57" s="728">
        <v>4988</v>
      </c>
      <c r="V57" s="728">
        <v>21265</v>
      </c>
      <c r="W57" s="860"/>
    </row>
    <row r="58" spans="1:23" s="732" customFormat="1" x14ac:dyDescent="0.25">
      <c r="A58" s="730">
        <v>47</v>
      </c>
      <c r="B58" s="734" t="s">
        <v>22</v>
      </c>
      <c r="C58" s="652" t="s">
        <v>23</v>
      </c>
      <c r="D58" s="728">
        <v>65591</v>
      </c>
      <c r="E58" s="728">
        <v>0</v>
      </c>
      <c r="F58" s="728">
        <v>0</v>
      </c>
      <c r="G58" s="728">
        <v>0</v>
      </c>
      <c r="H58" s="728">
        <v>0</v>
      </c>
      <c r="I58" s="728">
        <v>0</v>
      </c>
      <c r="J58" s="728">
        <v>7469</v>
      </c>
      <c r="K58" s="728">
        <v>7469</v>
      </c>
      <c r="L58" s="728">
        <v>0</v>
      </c>
      <c r="M58" s="728">
        <v>0</v>
      </c>
      <c r="N58" s="728">
        <v>0</v>
      </c>
      <c r="O58" s="728">
        <v>0</v>
      </c>
      <c r="P58" s="728">
        <v>0</v>
      </c>
      <c r="Q58" s="728">
        <v>0</v>
      </c>
      <c r="R58" s="731">
        <v>58122</v>
      </c>
      <c r="S58" s="728">
        <v>0</v>
      </c>
      <c r="T58" s="728">
        <v>8140</v>
      </c>
      <c r="U58" s="728">
        <v>0</v>
      </c>
      <c r="V58" s="728">
        <v>49982</v>
      </c>
      <c r="W58" s="860"/>
    </row>
    <row r="59" spans="1:23" s="732" customFormat="1" x14ac:dyDescent="0.25">
      <c r="A59" s="730">
        <v>48</v>
      </c>
      <c r="B59" s="733" t="s">
        <v>24</v>
      </c>
      <c r="C59" s="652" t="s">
        <v>25</v>
      </c>
      <c r="D59" s="728">
        <v>51566</v>
      </c>
      <c r="E59" s="728">
        <v>0</v>
      </c>
      <c r="F59" s="728">
        <v>0</v>
      </c>
      <c r="G59" s="728">
        <v>0</v>
      </c>
      <c r="H59" s="728">
        <v>0</v>
      </c>
      <c r="I59" s="728">
        <v>0</v>
      </c>
      <c r="J59" s="728">
        <v>7022</v>
      </c>
      <c r="K59" s="728">
        <v>7022</v>
      </c>
      <c r="L59" s="728">
        <v>0</v>
      </c>
      <c r="M59" s="728">
        <v>0</v>
      </c>
      <c r="N59" s="728">
        <v>0</v>
      </c>
      <c r="O59" s="728">
        <v>0</v>
      </c>
      <c r="P59" s="728">
        <v>0</v>
      </c>
      <c r="Q59" s="728">
        <v>0</v>
      </c>
      <c r="R59" s="731">
        <v>44544</v>
      </c>
      <c r="S59" s="728">
        <v>0</v>
      </c>
      <c r="T59" s="728">
        <v>7351</v>
      </c>
      <c r="U59" s="728">
        <v>0</v>
      </c>
      <c r="V59" s="728">
        <v>37193</v>
      </c>
      <c r="W59" s="860"/>
    </row>
    <row r="60" spans="1:23" s="732" customFormat="1" ht="24" x14ac:dyDescent="0.25">
      <c r="A60" s="730">
        <v>49</v>
      </c>
      <c r="B60" s="651" t="s">
        <v>193</v>
      </c>
      <c r="C60" s="652" t="s">
        <v>194</v>
      </c>
      <c r="D60" s="728">
        <v>76975</v>
      </c>
      <c r="E60" s="728">
        <v>0</v>
      </c>
      <c r="F60" s="728">
        <v>0</v>
      </c>
      <c r="G60" s="728">
        <v>0</v>
      </c>
      <c r="H60" s="728">
        <v>0</v>
      </c>
      <c r="I60" s="728">
        <v>0</v>
      </c>
      <c r="J60" s="728">
        <v>10400</v>
      </c>
      <c r="K60" s="728">
        <v>10400</v>
      </c>
      <c r="L60" s="728">
        <v>0</v>
      </c>
      <c r="M60" s="728">
        <v>0</v>
      </c>
      <c r="N60" s="728">
        <v>0</v>
      </c>
      <c r="O60" s="728">
        <v>0</v>
      </c>
      <c r="P60" s="728">
        <v>0</v>
      </c>
      <c r="Q60" s="728">
        <v>3963</v>
      </c>
      <c r="R60" s="731">
        <v>62612</v>
      </c>
      <c r="S60" s="728">
        <v>3431</v>
      </c>
      <c r="T60" s="728">
        <v>3218</v>
      </c>
      <c r="U60" s="728">
        <v>9469</v>
      </c>
      <c r="V60" s="728">
        <v>46494</v>
      </c>
      <c r="W60" s="860"/>
    </row>
    <row r="61" spans="1:23" s="732" customFormat="1" ht="23.25" customHeight="1" x14ac:dyDescent="0.25">
      <c r="A61" s="730">
        <v>50</v>
      </c>
      <c r="B61" s="733" t="s">
        <v>26</v>
      </c>
      <c r="C61" s="652" t="s">
        <v>27</v>
      </c>
      <c r="D61" s="728">
        <v>97681</v>
      </c>
      <c r="E61" s="728">
        <v>0</v>
      </c>
      <c r="F61" s="728">
        <v>0</v>
      </c>
      <c r="G61" s="728">
        <v>0</v>
      </c>
      <c r="H61" s="728">
        <v>0</v>
      </c>
      <c r="I61" s="728">
        <v>0</v>
      </c>
      <c r="J61" s="728">
        <v>12506</v>
      </c>
      <c r="K61" s="728">
        <v>12506</v>
      </c>
      <c r="L61" s="728">
        <v>0</v>
      </c>
      <c r="M61" s="728">
        <v>0</v>
      </c>
      <c r="N61" s="728">
        <v>0</v>
      </c>
      <c r="O61" s="728">
        <v>0</v>
      </c>
      <c r="P61" s="728">
        <v>0</v>
      </c>
      <c r="Q61" s="728">
        <v>3953</v>
      </c>
      <c r="R61" s="731">
        <v>81222</v>
      </c>
      <c r="S61" s="728">
        <v>0</v>
      </c>
      <c r="T61" s="728">
        <v>13939</v>
      </c>
      <c r="U61" s="728">
        <v>0</v>
      </c>
      <c r="V61" s="728">
        <v>67283</v>
      </c>
      <c r="W61" s="860"/>
    </row>
    <row r="62" spans="1:23" s="732" customFormat="1" ht="27.75" customHeight="1" x14ac:dyDescent="0.25">
      <c r="A62" s="730">
        <v>51</v>
      </c>
      <c r="B62" s="734" t="s">
        <v>28</v>
      </c>
      <c r="C62" s="652" t="s">
        <v>195</v>
      </c>
      <c r="D62" s="728">
        <v>53843</v>
      </c>
      <c r="E62" s="728">
        <v>0</v>
      </c>
      <c r="F62" s="728">
        <v>0</v>
      </c>
      <c r="G62" s="728">
        <v>0</v>
      </c>
      <c r="H62" s="728">
        <v>0</v>
      </c>
      <c r="I62" s="728">
        <v>0</v>
      </c>
      <c r="J62" s="728">
        <v>9479</v>
      </c>
      <c r="K62" s="728">
        <v>9479</v>
      </c>
      <c r="L62" s="728">
        <v>0</v>
      </c>
      <c r="M62" s="728">
        <v>0</v>
      </c>
      <c r="N62" s="728">
        <v>0</v>
      </c>
      <c r="O62" s="728">
        <v>0</v>
      </c>
      <c r="P62" s="728">
        <v>0</v>
      </c>
      <c r="Q62" s="728">
        <v>0</v>
      </c>
      <c r="R62" s="731">
        <v>44364</v>
      </c>
      <c r="S62" s="728">
        <v>0</v>
      </c>
      <c r="T62" s="728">
        <v>3919</v>
      </c>
      <c r="U62" s="728">
        <v>3000</v>
      </c>
      <c r="V62" s="728">
        <v>37445</v>
      </c>
      <c r="W62" s="860"/>
    </row>
    <row r="63" spans="1:23" s="732" customFormat="1" ht="24" x14ac:dyDescent="0.25">
      <c r="A63" s="730">
        <v>52</v>
      </c>
      <c r="B63" s="651" t="s">
        <v>196</v>
      </c>
      <c r="C63" s="652" t="s">
        <v>197</v>
      </c>
      <c r="D63" s="728">
        <v>24483</v>
      </c>
      <c r="E63" s="728">
        <v>0</v>
      </c>
      <c r="F63" s="728">
        <v>0</v>
      </c>
      <c r="G63" s="728">
        <v>0</v>
      </c>
      <c r="H63" s="728">
        <v>0</v>
      </c>
      <c r="I63" s="728">
        <v>0</v>
      </c>
      <c r="J63" s="728">
        <v>0</v>
      </c>
      <c r="K63" s="728">
        <v>0</v>
      </c>
      <c r="L63" s="728">
        <v>0</v>
      </c>
      <c r="M63" s="728">
        <v>0</v>
      </c>
      <c r="N63" s="728">
        <v>0</v>
      </c>
      <c r="O63" s="728">
        <v>0</v>
      </c>
      <c r="P63" s="728">
        <v>0</v>
      </c>
      <c r="Q63" s="728">
        <v>0</v>
      </c>
      <c r="R63" s="731">
        <v>24483</v>
      </c>
      <c r="S63" s="728">
        <v>9372</v>
      </c>
      <c r="T63" s="728">
        <v>0</v>
      </c>
      <c r="U63" s="728">
        <v>15111</v>
      </c>
      <c r="V63" s="728">
        <v>0</v>
      </c>
      <c r="W63" s="860"/>
    </row>
    <row r="64" spans="1:23" s="732" customFormat="1" ht="24" x14ac:dyDescent="0.25">
      <c r="A64" s="730">
        <v>53</v>
      </c>
      <c r="B64" s="651" t="s">
        <v>198</v>
      </c>
      <c r="C64" s="652" t="s">
        <v>199</v>
      </c>
      <c r="D64" s="728">
        <v>38844</v>
      </c>
      <c r="E64" s="728">
        <v>0</v>
      </c>
      <c r="F64" s="728">
        <v>0</v>
      </c>
      <c r="G64" s="728">
        <v>0</v>
      </c>
      <c r="H64" s="728">
        <v>0</v>
      </c>
      <c r="I64" s="728">
        <v>0</v>
      </c>
      <c r="J64" s="728">
        <v>0</v>
      </c>
      <c r="K64" s="728">
        <v>0</v>
      </c>
      <c r="L64" s="728">
        <v>0</v>
      </c>
      <c r="M64" s="728">
        <v>0</v>
      </c>
      <c r="N64" s="728">
        <v>0</v>
      </c>
      <c r="O64" s="728">
        <v>0</v>
      </c>
      <c r="P64" s="728">
        <v>0</v>
      </c>
      <c r="Q64" s="728">
        <v>0</v>
      </c>
      <c r="R64" s="731">
        <v>38844</v>
      </c>
      <c r="S64" s="728">
        <v>9207</v>
      </c>
      <c r="T64" s="728">
        <v>0</v>
      </c>
      <c r="U64" s="728">
        <v>29637</v>
      </c>
      <c r="V64" s="728">
        <v>0</v>
      </c>
      <c r="W64" s="860"/>
    </row>
    <row r="65" spans="1:23" s="732" customFormat="1" x14ac:dyDescent="0.25">
      <c r="A65" s="730">
        <v>54</v>
      </c>
      <c r="B65" s="733" t="s">
        <v>62</v>
      </c>
      <c r="C65" s="652" t="s">
        <v>200</v>
      </c>
      <c r="D65" s="728">
        <v>128284</v>
      </c>
      <c r="E65" s="728">
        <v>10163</v>
      </c>
      <c r="F65" s="728">
        <v>0</v>
      </c>
      <c r="G65" s="728">
        <v>2087</v>
      </c>
      <c r="H65" s="728">
        <v>5923</v>
      </c>
      <c r="I65" s="728">
        <v>0</v>
      </c>
      <c r="J65" s="728">
        <v>0</v>
      </c>
      <c r="K65" s="728">
        <v>0</v>
      </c>
      <c r="L65" s="728">
        <v>0</v>
      </c>
      <c r="M65" s="728">
        <v>0</v>
      </c>
      <c r="N65" s="728">
        <v>0</v>
      </c>
      <c r="O65" s="728">
        <v>0</v>
      </c>
      <c r="P65" s="728">
        <v>0</v>
      </c>
      <c r="Q65" s="728">
        <v>0</v>
      </c>
      <c r="R65" s="731">
        <v>110111</v>
      </c>
      <c r="S65" s="728">
        <v>0</v>
      </c>
      <c r="T65" s="728">
        <v>23056</v>
      </c>
      <c r="U65" s="728">
        <v>0</v>
      </c>
      <c r="V65" s="728">
        <v>87055</v>
      </c>
      <c r="W65" s="860"/>
    </row>
    <row r="66" spans="1:23" s="732" customFormat="1" x14ac:dyDescent="0.25">
      <c r="A66" s="730">
        <v>55</v>
      </c>
      <c r="B66" s="733" t="s">
        <v>64</v>
      </c>
      <c r="C66" s="652" t="s">
        <v>201</v>
      </c>
      <c r="D66" s="728">
        <v>65083</v>
      </c>
      <c r="E66" s="728">
        <v>6220</v>
      </c>
      <c r="F66" s="728">
        <v>0</v>
      </c>
      <c r="G66" s="728">
        <v>1294</v>
      </c>
      <c r="H66" s="728">
        <v>0</v>
      </c>
      <c r="I66" s="728">
        <v>0</v>
      </c>
      <c r="J66" s="728">
        <v>0</v>
      </c>
      <c r="K66" s="728">
        <v>0</v>
      </c>
      <c r="L66" s="728">
        <v>0</v>
      </c>
      <c r="M66" s="728">
        <v>0</v>
      </c>
      <c r="N66" s="728">
        <v>0</v>
      </c>
      <c r="O66" s="728">
        <v>0</v>
      </c>
      <c r="P66" s="728">
        <v>0</v>
      </c>
      <c r="Q66" s="728">
        <v>0</v>
      </c>
      <c r="R66" s="731">
        <v>57569</v>
      </c>
      <c r="S66" s="728">
        <v>0</v>
      </c>
      <c r="T66" s="728">
        <v>14216</v>
      </c>
      <c r="U66" s="728">
        <v>0</v>
      </c>
      <c r="V66" s="728">
        <v>43353</v>
      </c>
      <c r="W66" s="860"/>
    </row>
    <row r="67" spans="1:23" s="732" customFormat="1" x14ac:dyDescent="0.25">
      <c r="A67" s="730">
        <v>56</v>
      </c>
      <c r="B67" s="733" t="s">
        <v>66</v>
      </c>
      <c r="C67" s="652" t="s">
        <v>202</v>
      </c>
      <c r="D67" s="728">
        <v>169339</v>
      </c>
      <c r="E67" s="728">
        <v>13742</v>
      </c>
      <c r="F67" s="728">
        <v>0</v>
      </c>
      <c r="G67" s="728">
        <v>2727</v>
      </c>
      <c r="H67" s="728">
        <v>9568</v>
      </c>
      <c r="I67" s="728">
        <v>0</v>
      </c>
      <c r="J67" s="728">
        <v>0</v>
      </c>
      <c r="K67" s="728">
        <v>0</v>
      </c>
      <c r="L67" s="728">
        <v>0</v>
      </c>
      <c r="M67" s="728">
        <v>0</v>
      </c>
      <c r="N67" s="728">
        <v>0</v>
      </c>
      <c r="O67" s="728">
        <v>0</v>
      </c>
      <c r="P67" s="728">
        <v>0</v>
      </c>
      <c r="Q67" s="728">
        <v>0</v>
      </c>
      <c r="R67" s="731">
        <v>143302</v>
      </c>
      <c r="S67" s="728">
        <v>0</v>
      </c>
      <c r="T67" s="728">
        <v>32940</v>
      </c>
      <c r="U67" s="728">
        <v>0</v>
      </c>
      <c r="V67" s="728">
        <v>110362</v>
      </c>
      <c r="W67" s="860"/>
    </row>
    <row r="68" spans="1:23" s="732" customFormat="1" ht="24" x14ac:dyDescent="0.25">
      <c r="A68" s="730">
        <v>57</v>
      </c>
      <c r="B68" s="733" t="s">
        <v>203</v>
      </c>
      <c r="C68" s="652" t="s">
        <v>204</v>
      </c>
      <c r="D68" s="728">
        <v>17292</v>
      </c>
      <c r="E68" s="728">
        <v>0</v>
      </c>
      <c r="F68" s="728">
        <v>0</v>
      </c>
      <c r="G68" s="728">
        <v>0</v>
      </c>
      <c r="H68" s="728">
        <v>0</v>
      </c>
      <c r="I68" s="728">
        <v>0</v>
      </c>
      <c r="J68" s="728">
        <v>0</v>
      </c>
      <c r="K68" s="728">
        <v>0</v>
      </c>
      <c r="L68" s="728">
        <v>0</v>
      </c>
      <c r="M68" s="728">
        <v>0</v>
      </c>
      <c r="N68" s="728">
        <v>0</v>
      </c>
      <c r="O68" s="728">
        <v>0</v>
      </c>
      <c r="P68" s="728">
        <v>0</v>
      </c>
      <c r="Q68" s="728">
        <v>0</v>
      </c>
      <c r="R68" s="731">
        <v>17292</v>
      </c>
      <c r="S68" s="728">
        <v>0</v>
      </c>
      <c r="T68" s="728">
        <v>0</v>
      </c>
      <c r="U68" s="728">
        <v>17292</v>
      </c>
      <c r="V68" s="728">
        <v>0</v>
      </c>
      <c r="W68" s="860"/>
    </row>
    <row r="69" spans="1:23" s="732" customFormat="1" ht="24" x14ac:dyDescent="0.25">
      <c r="A69" s="730">
        <v>58</v>
      </c>
      <c r="B69" s="651" t="s">
        <v>205</v>
      </c>
      <c r="C69" s="652" t="s">
        <v>206</v>
      </c>
      <c r="D69" s="728">
        <v>20658</v>
      </c>
      <c r="E69" s="728">
        <v>0</v>
      </c>
      <c r="F69" s="728">
        <v>0</v>
      </c>
      <c r="G69" s="728">
        <v>0</v>
      </c>
      <c r="H69" s="728">
        <v>0</v>
      </c>
      <c r="I69" s="728">
        <v>0</v>
      </c>
      <c r="J69" s="728">
        <v>0</v>
      </c>
      <c r="K69" s="728">
        <v>0</v>
      </c>
      <c r="L69" s="728">
        <v>0</v>
      </c>
      <c r="M69" s="728">
        <v>0</v>
      </c>
      <c r="N69" s="728">
        <v>0</v>
      </c>
      <c r="O69" s="728">
        <v>0</v>
      </c>
      <c r="P69" s="728">
        <v>0</v>
      </c>
      <c r="Q69" s="728">
        <v>0</v>
      </c>
      <c r="R69" s="731">
        <v>20658</v>
      </c>
      <c r="S69" s="728">
        <v>0</v>
      </c>
      <c r="T69" s="728">
        <v>0</v>
      </c>
      <c r="U69" s="728">
        <v>20658</v>
      </c>
      <c r="V69" s="728">
        <v>0</v>
      </c>
      <c r="W69" s="860"/>
    </row>
    <row r="70" spans="1:23" s="732" customFormat="1" ht="24" x14ac:dyDescent="0.25">
      <c r="A70" s="730">
        <v>59</v>
      </c>
      <c r="B70" s="733" t="s">
        <v>207</v>
      </c>
      <c r="C70" s="652" t="s">
        <v>208</v>
      </c>
      <c r="D70" s="728">
        <v>24108</v>
      </c>
      <c r="E70" s="728">
        <v>0</v>
      </c>
      <c r="F70" s="728">
        <v>0</v>
      </c>
      <c r="G70" s="728">
        <v>0</v>
      </c>
      <c r="H70" s="728">
        <v>0</v>
      </c>
      <c r="I70" s="728">
        <v>0</v>
      </c>
      <c r="J70" s="728">
        <v>0</v>
      </c>
      <c r="K70" s="728">
        <v>0</v>
      </c>
      <c r="L70" s="728">
        <v>0</v>
      </c>
      <c r="M70" s="728">
        <v>0</v>
      </c>
      <c r="N70" s="728">
        <v>0</v>
      </c>
      <c r="O70" s="728">
        <v>0</v>
      </c>
      <c r="P70" s="728">
        <v>0</v>
      </c>
      <c r="Q70" s="728">
        <v>0</v>
      </c>
      <c r="R70" s="731">
        <v>24108</v>
      </c>
      <c r="S70" s="728">
        <v>0</v>
      </c>
      <c r="T70" s="728">
        <v>0</v>
      </c>
      <c r="U70" s="728">
        <v>24108</v>
      </c>
      <c r="V70" s="728">
        <v>0</v>
      </c>
      <c r="W70" s="860"/>
    </row>
    <row r="71" spans="1:23" s="732" customFormat="1" ht="24" x14ac:dyDescent="0.25">
      <c r="A71" s="730">
        <v>60</v>
      </c>
      <c r="B71" s="733" t="s">
        <v>209</v>
      </c>
      <c r="C71" s="652" t="s">
        <v>210</v>
      </c>
      <c r="D71" s="728">
        <v>19442</v>
      </c>
      <c r="E71" s="728">
        <v>0</v>
      </c>
      <c r="F71" s="728">
        <v>0</v>
      </c>
      <c r="G71" s="728">
        <v>0</v>
      </c>
      <c r="H71" s="728">
        <v>0</v>
      </c>
      <c r="I71" s="728">
        <v>0</v>
      </c>
      <c r="J71" s="728">
        <v>0</v>
      </c>
      <c r="K71" s="728">
        <v>0</v>
      </c>
      <c r="L71" s="728">
        <v>0</v>
      </c>
      <c r="M71" s="728">
        <v>0</v>
      </c>
      <c r="N71" s="728">
        <v>0</v>
      </c>
      <c r="O71" s="728">
        <v>0</v>
      </c>
      <c r="P71" s="728">
        <v>0</v>
      </c>
      <c r="Q71" s="728">
        <v>0</v>
      </c>
      <c r="R71" s="731">
        <v>19442</v>
      </c>
      <c r="S71" s="728">
        <v>0</v>
      </c>
      <c r="T71" s="728">
        <v>0</v>
      </c>
      <c r="U71" s="728">
        <v>19442</v>
      </c>
      <c r="V71" s="728">
        <v>0</v>
      </c>
      <c r="W71" s="860"/>
    </row>
    <row r="72" spans="1:23" s="732" customFormat="1" ht="24" x14ac:dyDescent="0.25">
      <c r="A72" s="730">
        <v>61</v>
      </c>
      <c r="B72" s="651" t="s">
        <v>211</v>
      </c>
      <c r="C72" s="652" t="s">
        <v>212</v>
      </c>
      <c r="D72" s="728">
        <v>29014</v>
      </c>
      <c r="E72" s="728">
        <v>0</v>
      </c>
      <c r="F72" s="728">
        <v>0</v>
      </c>
      <c r="G72" s="728">
        <v>0</v>
      </c>
      <c r="H72" s="728">
        <v>0</v>
      </c>
      <c r="I72" s="728">
        <v>0</v>
      </c>
      <c r="J72" s="728">
        <v>0</v>
      </c>
      <c r="K72" s="728">
        <v>0</v>
      </c>
      <c r="L72" s="728">
        <v>0</v>
      </c>
      <c r="M72" s="728">
        <v>0</v>
      </c>
      <c r="N72" s="728">
        <v>0</v>
      </c>
      <c r="O72" s="728">
        <v>0</v>
      </c>
      <c r="P72" s="728">
        <v>0</v>
      </c>
      <c r="Q72" s="728">
        <v>0</v>
      </c>
      <c r="R72" s="731">
        <v>29014</v>
      </c>
      <c r="S72" s="728">
        <v>2483</v>
      </c>
      <c r="T72" s="728">
        <v>0</v>
      </c>
      <c r="U72" s="728">
        <v>26531</v>
      </c>
      <c r="V72" s="728">
        <v>0</v>
      </c>
      <c r="W72" s="860"/>
    </row>
    <row r="73" spans="1:23" s="732" customFormat="1" ht="24" x14ac:dyDescent="0.25">
      <c r="A73" s="730">
        <v>62</v>
      </c>
      <c r="B73" s="651" t="s">
        <v>213</v>
      </c>
      <c r="C73" s="652" t="s">
        <v>214</v>
      </c>
      <c r="D73" s="728">
        <v>20290</v>
      </c>
      <c r="E73" s="728">
        <v>0</v>
      </c>
      <c r="F73" s="728">
        <v>0</v>
      </c>
      <c r="G73" s="728">
        <v>0</v>
      </c>
      <c r="H73" s="728">
        <v>0</v>
      </c>
      <c r="I73" s="728">
        <v>0</v>
      </c>
      <c r="J73" s="728">
        <v>0</v>
      </c>
      <c r="K73" s="728">
        <v>0</v>
      </c>
      <c r="L73" s="728">
        <v>0</v>
      </c>
      <c r="M73" s="728">
        <v>0</v>
      </c>
      <c r="N73" s="728">
        <v>0</v>
      </c>
      <c r="O73" s="728">
        <v>0</v>
      </c>
      <c r="P73" s="728">
        <v>0</v>
      </c>
      <c r="Q73" s="728">
        <v>0</v>
      </c>
      <c r="R73" s="731">
        <v>20290</v>
      </c>
      <c r="S73" s="728">
        <v>0</v>
      </c>
      <c r="T73" s="728">
        <v>0</v>
      </c>
      <c r="U73" s="728">
        <v>20290</v>
      </c>
      <c r="V73" s="728">
        <v>0</v>
      </c>
      <c r="W73" s="860"/>
    </row>
    <row r="74" spans="1:23" s="732" customFormat="1" ht="24" x14ac:dyDescent="0.25">
      <c r="A74" s="730">
        <v>63</v>
      </c>
      <c r="B74" s="651" t="s">
        <v>215</v>
      </c>
      <c r="C74" s="652" t="s">
        <v>216</v>
      </c>
      <c r="D74" s="728">
        <v>18367</v>
      </c>
      <c r="E74" s="728">
        <v>0</v>
      </c>
      <c r="F74" s="728">
        <v>0</v>
      </c>
      <c r="G74" s="728">
        <v>0</v>
      </c>
      <c r="H74" s="728">
        <v>0</v>
      </c>
      <c r="I74" s="728">
        <v>0</v>
      </c>
      <c r="J74" s="728">
        <v>0</v>
      </c>
      <c r="K74" s="728">
        <v>0</v>
      </c>
      <c r="L74" s="728">
        <v>0</v>
      </c>
      <c r="M74" s="728">
        <v>0</v>
      </c>
      <c r="N74" s="728">
        <v>0</v>
      </c>
      <c r="O74" s="728">
        <v>0</v>
      </c>
      <c r="P74" s="728">
        <v>0</v>
      </c>
      <c r="Q74" s="728">
        <v>0</v>
      </c>
      <c r="R74" s="731">
        <v>18367</v>
      </c>
      <c r="S74" s="728">
        <v>0</v>
      </c>
      <c r="T74" s="728">
        <v>0</v>
      </c>
      <c r="U74" s="728">
        <v>18367</v>
      </c>
      <c r="V74" s="728">
        <v>0</v>
      </c>
      <c r="W74" s="860"/>
    </row>
    <row r="75" spans="1:23" s="732" customFormat="1" x14ac:dyDescent="0.25">
      <c r="A75" s="730">
        <v>64</v>
      </c>
      <c r="B75" s="734" t="s">
        <v>217</v>
      </c>
      <c r="C75" s="652" t="s">
        <v>218</v>
      </c>
      <c r="D75" s="728">
        <v>135374</v>
      </c>
      <c r="E75" s="728">
        <v>7643</v>
      </c>
      <c r="F75" s="728">
        <v>27</v>
      </c>
      <c r="G75" s="728">
        <v>1660</v>
      </c>
      <c r="H75" s="728">
        <v>0</v>
      </c>
      <c r="I75" s="728">
        <v>0</v>
      </c>
      <c r="J75" s="728">
        <v>4153</v>
      </c>
      <c r="K75" s="728">
        <v>4048</v>
      </c>
      <c r="L75" s="728">
        <v>105</v>
      </c>
      <c r="M75" s="728">
        <v>0</v>
      </c>
      <c r="N75" s="728">
        <v>0</v>
      </c>
      <c r="O75" s="728">
        <v>0</v>
      </c>
      <c r="P75" s="728">
        <v>0</v>
      </c>
      <c r="Q75" s="728">
        <v>2531</v>
      </c>
      <c r="R75" s="731">
        <v>119360</v>
      </c>
      <c r="S75" s="728">
        <v>0</v>
      </c>
      <c r="T75" s="728">
        <v>6038</v>
      </c>
      <c r="U75" s="728">
        <v>15175</v>
      </c>
      <c r="V75" s="728">
        <v>98147</v>
      </c>
      <c r="W75" s="860"/>
    </row>
    <row r="76" spans="1:23" s="732" customFormat="1" x14ac:dyDescent="0.25">
      <c r="A76" s="730">
        <v>65</v>
      </c>
      <c r="B76" s="651" t="s">
        <v>50</v>
      </c>
      <c r="C76" s="652" t="s">
        <v>219</v>
      </c>
      <c r="D76" s="728">
        <v>227286</v>
      </c>
      <c r="E76" s="728">
        <v>18554</v>
      </c>
      <c r="F76" s="728">
        <v>3</v>
      </c>
      <c r="G76" s="728">
        <v>3969</v>
      </c>
      <c r="H76" s="728">
        <v>0</v>
      </c>
      <c r="I76" s="728">
        <v>0</v>
      </c>
      <c r="J76" s="728">
        <v>250</v>
      </c>
      <c r="K76" s="728">
        <v>250</v>
      </c>
      <c r="L76" s="728">
        <v>0</v>
      </c>
      <c r="M76" s="728">
        <v>0</v>
      </c>
      <c r="N76" s="728">
        <v>0</v>
      </c>
      <c r="O76" s="728">
        <v>0</v>
      </c>
      <c r="P76" s="728">
        <v>0</v>
      </c>
      <c r="Q76" s="728">
        <v>4224</v>
      </c>
      <c r="R76" s="731">
        <v>200286</v>
      </c>
      <c r="S76" s="728">
        <v>0</v>
      </c>
      <c r="T76" s="728">
        <v>52559</v>
      </c>
      <c r="U76" s="728">
        <v>0</v>
      </c>
      <c r="V76" s="728">
        <v>147727</v>
      </c>
      <c r="W76" s="860"/>
    </row>
    <row r="77" spans="1:23" s="732" customFormat="1" x14ac:dyDescent="0.25">
      <c r="A77" s="730">
        <v>66</v>
      </c>
      <c r="B77" s="734" t="s">
        <v>52</v>
      </c>
      <c r="C77" s="652" t="s">
        <v>220</v>
      </c>
      <c r="D77" s="728">
        <v>133365</v>
      </c>
      <c r="E77" s="728">
        <v>10768</v>
      </c>
      <c r="F77" s="728">
        <v>9</v>
      </c>
      <c r="G77" s="728">
        <v>2235</v>
      </c>
      <c r="H77" s="728">
        <v>0</v>
      </c>
      <c r="I77" s="728">
        <v>2640</v>
      </c>
      <c r="J77" s="728">
        <v>0</v>
      </c>
      <c r="K77" s="728">
        <v>0</v>
      </c>
      <c r="L77" s="728">
        <v>0</v>
      </c>
      <c r="M77" s="728">
        <v>0</v>
      </c>
      <c r="N77" s="728">
        <v>0</v>
      </c>
      <c r="O77" s="728">
        <v>0</v>
      </c>
      <c r="P77" s="728">
        <v>0</v>
      </c>
      <c r="Q77" s="728">
        <v>5308</v>
      </c>
      <c r="R77" s="731">
        <v>112405</v>
      </c>
      <c r="S77" s="728">
        <v>0</v>
      </c>
      <c r="T77" s="728">
        <v>7882</v>
      </c>
      <c r="U77" s="728">
        <v>19222</v>
      </c>
      <c r="V77" s="728">
        <v>85301</v>
      </c>
      <c r="W77" s="860"/>
    </row>
    <row r="78" spans="1:23" s="732" customFormat="1" x14ac:dyDescent="0.25">
      <c r="A78" s="730">
        <v>67</v>
      </c>
      <c r="B78" s="651" t="s">
        <v>44</v>
      </c>
      <c r="C78" s="652" t="s">
        <v>221</v>
      </c>
      <c r="D78" s="728">
        <v>81026</v>
      </c>
      <c r="E78" s="728">
        <v>6730</v>
      </c>
      <c r="F78" s="728">
        <v>0</v>
      </c>
      <c r="G78" s="728">
        <v>1419</v>
      </c>
      <c r="H78" s="728">
        <v>0</v>
      </c>
      <c r="I78" s="728">
        <v>0</v>
      </c>
      <c r="J78" s="728">
        <v>0</v>
      </c>
      <c r="K78" s="728">
        <v>0</v>
      </c>
      <c r="L78" s="728">
        <v>0</v>
      </c>
      <c r="M78" s="728">
        <v>0</v>
      </c>
      <c r="N78" s="728">
        <v>0</v>
      </c>
      <c r="O78" s="728">
        <v>0</v>
      </c>
      <c r="P78" s="728">
        <v>0</v>
      </c>
      <c r="Q78" s="728">
        <v>0</v>
      </c>
      <c r="R78" s="731">
        <v>72877</v>
      </c>
      <c r="S78" s="728">
        <v>0</v>
      </c>
      <c r="T78" s="728">
        <v>7672</v>
      </c>
      <c r="U78" s="728">
        <v>5256</v>
      </c>
      <c r="V78" s="728">
        <v>59949</v>
      </c>
      <c r="W78" s="860"/>
    </row>
    <row r="79" spans="1:23" s="732" customFormat="1" ht="13.5" customHeight="1" x14ac:dyDescent="0.25">
      <c r="A79" s="730">
        <v>68</v>
      </c>
      <c r="B79" s="651" t="s">
        <v>54</v>
      </c>
      <c r="C79" s="652" t="s">
        <v>222</v>
      </c>
      <c r="D79" s="728">
        <v>222539</v>
      </c>
      <c r="E79" s="728">
        <v>17861</v>
      </c>
      <c r="F79" s="728">
        <v>357</v>
      </c>
      <c r="G79" s="728">
        <v>3617</v>
      </c>
      <c r="H79" s="728">
        <v>0</v>
      </c>
      <c r="I79" s="728">
        <v>7930</v>
      </c>
      <c r="J79" s="728">
        <v>0</v>
      </c>
      <c r="K79" s="728">
        <v>0</v>
      </c>
      <c r="L79" s="728">
        <v>0</v>
      </c>
      <c r="M79" s="728">
        <v>0</v>
      </c>
      <c r="N79" s="728">
        <v>0</v>
      </c>
      <c r="O79" s="728">
        <v>0</v>
      </c>
      <c r="P79" s="728">
        <v>0</v>
      </c>
      <c r="Q79" s="728">
        <v>0</v>
      </c>
      <c r="R79" s="731">
        <v>192774</v>
      </c>
      <c r="S79" s="728">
        <v>0</v>
      </c>
      <c r="T79" s="728">
        <v>32849</v>
      </c>
      <c r="U79" s="728">
        <v>25900</v>
      </c>
      <c r="V79" s="728">
        <v>134025</v>
      </c>
      <c r="W79" s="860"/>
    </row>
    <row r="80" spans="1:23" s="732" customFormat="1" ht="14.25" customHeight="1" x14ac:dyDescent="0.25">
      <c r="A80" s="730">
        <v>69</v>
      </c>
      <c r="B80" s="651" t="s">
        <v>36</v>
      </c>
      <c r="C80" s="652" t="s">
        <v>37</v>
      </c>
      <c r="D80" s="728">
        <v>55924</v>
      </c>
      <c r="E80" s="728">
        <v>0</v>
      </c>
      <c r="F80" s="728">
        <v>0</v>
      </c>
      <c r="G80" s="728">
        <v>0</v>
      </c>
      <c r="H80" s="728">
        <v>0</v>
      </c>
      <c r="I80" s="728">
        <v>0</v>
      </c>
      <c r="J80" s="728">
        <v>2739</v>
      </c>
      <c r="K80" s="728">
        <v>2739</v>
      </c>
      <c r="L80" s="728">
        <v>0</v>
      </c>
      <c r="M80" s="728">
        <v>0</v>
      </c>
      <c r="N80" s="728">
        <v>0</v>
      </c>
      <c r="O80" s="728">
        <v>0</v>
      </c>
      <c r="P80" s="728">
        <v>0</v>
      </c>
      <c r="Q80" s="728">
        <v>0</v>
      </c>
      <c r="R80" s="731">
        <v>53185</v>
      </c>
      <c r="S80" s="728">
        <v>0</v>
      </c>
      <c r="T80" s="728">
        <v>8645</v>
      </c>
      <c r="U80" s="728">
        <v>0</v>
      </c>
      <c r="V80" s="728">
        <v>44540</v>
      </c>
      <c r="W80" s="860"/>
    </row>
    <row r="81" spans="1:23" s="732" customFormat="1" x14ac:dyDescent="0.25">
      <c r="A81" s="730">
        <v>70</v>
      </c>
      <c r="B81" s="651" t="s">
        <v>48</v>
      </c>
      <c r="C81" s="652" t="s">
        <v>223</v>
      </c>
      <c r="D81" s="728">
        <v>158767</v>
      </c>
      <c r="E81" s="728">
        <v>14482</v>
      </c>
      <c r="F81" s="728">
        <v>96</v>
      </c>
      <c r="G81" s="728">
        <v>3025</v>
      </c>
      <c r="H81" s="728">
        <v>0</v>
      </c>
      <c r="I81" s="728">
        <v>0</v>
      </c>
      <c r="J81" s="728">
        <v>0</v>
      </c>
      <c r="K81" s="728">
        <v>0</v>
      </c>
      <c r="L81" s="728">
        <v>0</v>
      </c>
      <c r="M81" s="728">
        <v>0</v>
      </c>
      <c r="N81" s="728">
        <v>0</v>
      </c>
      <c r="O81" s="728">
        <v>0</v>
      </c>
      <c r="P81" s="728">
        <v>0</v>
      </c>
      <c r="Q81" s="728">
        <v>0</v>
      </c>
      <c r="R81" s="731">
        <v>141164</v>
      </c>
      <c r="S81" s="728">
        <v>0</v>
      </c>
      <c r="T81" s="728">
        <v>23281</v>
      </c>
      <c r="U81" s="728">
        <v>8556</v>
      </c>
      <c r="V81" s="728">
        <v>109327</v>
      </c>
      <c r="W81" s="860"/>
    </row>
    <row r="82" spans="1:23" s="732" customFormat="1" x14ac:dyDescent="0.25">
      <c r="A82" s="730">
        <v>71</v>
      </c>
      <c r="B82" s="651" t="s">
        <v>224</v>
      </c>
      <c r="C82" s="652" t="s">
        <v>225</v>
      </c>
      <c r="D82" s="728">
        <v>34926</v>
      </c>
      <c r="E82" s="728">
        <v>0</v>
      </c>
      <c r="F82" s="728">
        <v>0</v>
      </c>
      <c r="G82" s="728">
        <v>0</v>
      </c>
      <c r="H82" s="728">
        <v>0</v>
      </c>
      <c r="I82" s="728">
        <v>0</v>
      </c>
      <c r="J82" s="728">
        <v>0</v>
      </c>
      <c r="K82" s="728">
        <v>0</v>
      </c>
      <c r="L82" s="728">
        <v>0</v>
      </c>
      <c r="M82" s="728">
        <v>34926</v>
      </c>
      <c r="N82" s="728">
        <v>33966</v>
      </c>
      <c r="O82" s="728">
        <v>960</v>
      </c>
      <c r="P82" s="728">
        <v>0</v>
      </c>
      <c r="Q82" s="728">
        <v>0</v>
      </c>
      <c r="R82" s="731">
        <v>0</v>
      </c>
      <c r="S82" s="728">
        <v>0</v>
      </c>
      <c r="T82" s="728">
        <v>0</v>
      </c>
      <c r="U82" s="728">
        <v>0</v>
      </c>
      <c r="V82" s="728">
        <v>0</v>
      </c>
      <c r="W82" s="860"/>
    </row>
    <row r="83" spans="1:23" s="729" customFormat="1" ht="24" x14ac:dyDescent="0.25">
      <c r="A83" s="1188">
        <v>72</v>
      </c>
      <c r="B83" s="1191" t="s">
        <v>228</v>
      </c>
      <c r="C83" s="351" t="s">
        <v>229</v>
      </c>
      <c r="D83" s="728">
        <v>41018</v>
      </c>
      <c r="E83" s="728">
        <v>803</v>
      </c>
      <c r="F83" s="728">
        <v>0</v>
      </c>
      <c r="G83" s="728">
        <v>237</v>
      </c>
      <c r="H83" s="728">
        <v>0</v>
      </c>
      <c r="I83" s="728">
        <v>0</v>
      </c>
      <c r="J83" s="728">
        <v>0</v>
      </c>
      <c r="K83" s="728">
        <v>0</v>
      </c>
      <c r="L83" s="728">
        <v>0</v>
      </c>
      <c r="M83" s="728">
        <v>29661</v>
      </c>
      <c r="N83" s="728">
        <v>25191</v>
      </c>
      <c r="O83" s="728">
        <v>4470</v>
      </c>
      <c r="P83" s="728">
        <v>0</v>
      </c>
      <c r="Q83" s="728">
        <v>0</v>
      </c>
      <c r="R83" s="731">
        <v>10317</v>
      </c>
      <c r="S83" s="728">
        <v>0</v>
      </c>
      <c r="T83" s="728">
        <v>2029</v>
      </c>
      <c r="U83" s="728">
        <v>0</v>
      </c>
      <c r="V83" s="728">
        <v>8288</v>
      </c>
      <c r="W83" s="860"/>
    </row>
    <row r="84" spans="1:23" s="732" customFormat="1" ht="36" x14ac:dyDescent="0.25">
      <c r="A84" s="1189"/>
      <c r="B84" s="1192"/>
      <c r="C84" s="652" t="s">
        <v>230</v>
      </c>
      <c r="D84" s="728">
        <v>11357</v>
      </c>
      <c r="E84" s="728">
        <v>803</v>
      </c>
      <c r="F84" s="728">
        <v>0</v>
      </c>
      <c r="G84" s="728">
        <v>237</v>
      </c>
      <c r="H84" s="728">
        <v>0</v>
      </c>
      <c r="I84" s="728">
        <v>0</v>
      </c>
      <c r="J84" s="728">
        <v>0</v>
      </c>
      <c r="K84" s="728">
        <v>0</v>
      </c>
      <c r="L84" s="728">
        <v>0</v>
      </c>
      <c r="M84" s="728">
        <v>0</v>
      </c>
      <c r="N84" s="728">
        <v>0</v>
      </c>
      <c r="O84" s="728">
        <v>0</v>
      </c>
      <c r="P84" s="728">
        <v>0</v>
      </c>
      <c r="Q84" s="728">
        <v>0</v>
      </c>
      <c r="R84" s="731">
        <v>10317</v>
      </c>
      <c r="S84" s="728">
        <v>0</v>
      </c>
      <c r="T84" s="728">
        <v>2029</v>
      </c>
      <c r="U84" s="728">
        <v>0</v>
      </c>
      <c r="V84" s="728">
        <v>8288</v>
      </c>
      <c r="W84" s="860"/>
    </row>
    <row r="85" spans="1:23" s="732" customFormat="1" ht="24" x14ac:dyDescent="0.25">
      <c r="A85" s="1189"/>
      <c r="B85" s="1192"/>
      <c r="C85" s="652" t="s">
        <v>231</v>
      </c>
      <c r="D85" s="728">
        <v>4470</v>
      </c>
      <c r="E85" s="728">
        <v>0</v>
      </c>
      <c r="F85" s="728">
        <v>0</v>
      </c>
      <c r="G85" s="728">
        <v>0</v>
      </c>
      <c r="H85" s="728">
        <v>0</v>
      </c>
      <c r="I85" s="728">
        <v>0</v>
      </c>
      <c r="J85" s="728">
        <v>0</v>
      </c>
      <c r="K85" s="728">
        <v>0</v>
      </c>
      <c r="L85" s="728">
        <v>0</v>
      </c>
      <c r="M85" s="728">
        <v>4470</v>
      </c>
      <c r="N85" s="728">
        <v>0</v>
      </c>
      <c r="O85" s="728">
        <v>4470</v>
      </c>
      <c r="P85" s="728">
        <v>0</v>
      </c>
      <c r="Q85" s="728">
        <v>0</v>
      </c>
      <c r="R85" s="731">
        <v>0</v>
      </c>
      <c r="S85" s="728">
        <v>0</v>
      </c>
      <c r="T85" s="728">
        <v>0</v>
      </c>
      <c r="U85" s="728">
        <v>0</v>
      </c>
      <c r="V85" s="728">
        <v>0</v>
      </c>
      <c r="W85" s="860"/>
    </row>
    <row r="86" spans="1:23" s="732" customFormat="1" ht="36" x14ac:dyDescent="0.25">
      <c r="A86" s="1190"/>
      <c r="B86" s="1193"/>
      <c r="C86" s="737" t="s">
        <v>232</v>
      </c>
      <c r="D86" s="728">
        <v>25191</v>
      </c>
      <c r="E86" s="728">
        <v>0</v>
      </c>
      <c r="F86" s="728">
        <v>0</v>
      </c>
      <c r="G86" s="728">
        <v>0</v>
      </c>
      <c r="H86" s="728">
        <v>0</v>
      </c>
      <c r="I86" s="728">
        <v>0</v>
      </c>
      <c r="J86" s="728">
        <v>0</v>
      </c>
      <c r="K86" s="728">
        <v>0</v>
      </c>
      <c r="L86" s="728">
        <v>0</v>
      </c>
      <c r="M86" s="728">
        <v>25191</v>
      </c>
      <c r="N86" s="728">
        <v>25191</v>
      </c>
      <c r="O86" s="728">
        <v>0</v>
      </c>
      <c r="P86" s="728">
        <v>0</v>
      </c>
      <c r="Q86" s="728">
        <v>0</v>
      </c>
      <c r="R86" s="731">
        <v>0</v>
      </c>
      <c r="S86" s="728">
        <v>0</v>
      </c>
      <c r="T86" s="728">
        <v>0</v>
      </c>
      <c r="U86" s="728">
        <v>0</v>
      </c>
      <c r="V86" s="728">
        <v>0</v>
      </c>
      <c r="W86" s="860"/>
    </row>
    <row r="87" spans="1:23" s="732" customFormat="1" ht="24" x14ac:dyDescent="0.25">
      <c r="A87" s="730">
        <v>73</v>
      </c>
      <c r="B87" s="733" t="s">
        <v>233</v>
      </c>
      <c r="C87" s="652" t="s">
        <v>234</v>
      </c>
      <c r="D87" s="728">
        <v>1341</v>
      </c>
      <c r="E87" s="728">
        <v>0</v>
      </c>
      <c r="F87" s="728">
        <v>0</v>
      </c>
      <c r="G87" s="728">
        <v>0</v>
      </c>
      <c r="H87" s="728">
        <v>0</v>
      </c>
      <c r="I87" s="728">
        <v>0</v>
      </c>
      <c r="J87" s="728">
        <v>0</v>
      </c>
      <c r="K87" s="728">
        <v>0</v>
      </c>
      <c r="L87" s="728">
        <v>0</v>
      </c>
      <c r="M87" s="728">
        <v>1341</v>
      </c>
      <c r="N87" s="728">
        <v>919</v>
      </c>
      <c r="O87" s="728">
        <v>422</v>
      </c>
      <c r="P87" s="728">
        <v>0</v>
      </c>
      <c r="Q87" s="728">
        <v>0</v>
      </c>
      <c r="R87" s="731">
        <v>0</v>
      </c>
      <c r="S87" s="728">
        <v>0</v>
      </c>
      <c r="T87" s="728">
        <v>0</v>
      </c>
      <c r="U87" s="728">
        <v>0</v>
      </c>
      <c r="V87" s="728">
        <v>0</v>
      </c>
      <c r="W87" s="860"/>
    </row>
    <row r="88" spans="1:23" s="732" customFormat="1" x14ac:dyDescent="0.25">
      <c r="A88" s="730">
        <v>74</v>
      </c>
      <c r="B88" s="733" t="s">
        <v>235</v>
      </c>
      <c r="C88" s="652" t="s">
        <v>236</v>
      </c>
      <c r="D88" s="728">
        <v>9124</v>
      </c>
      <c r="E88" s="728">
        <v>645</v>
      </c>
      <c r="F88" s="728">
        <v>0</v>
      </c>
      <c r="G88" s="728">
        <v>109</v>
      </c>
      <c r="H88" s="728">
        <v>0</v>
      </c>
      <c r="I88" s="728">
        <v>0</v>
      </c>
      <c r="J88" s="728">
        <v>0</v>
      </c>
      <c r="K88" s="728">
        <v>0</v>
      </c>
      <c r="L88" s="728">
        <v>0</v>
      </c>
      <c r="M88" s="728">
        <v>0</v>
      </c>
      <c r="N88" s="728">
        <v>0</v>
      </c>
      <c r="O88" s="728">
        <v>0</v>
      </c>
      <c r="P88" s="728">
        <v>0</v>
      </c>
      <c r="Q88" s="728">
        <v>0</v>
      </c>
      <c r="R88" s="731">
        <v>8370</v>
      </c>
      <c r="S88" s="728">
        <v>0</v>
      </c>
      <c r="T88" s="728">
        <v>1300</v>
      </c>
      <c r="U88" s="728">
        <v>817</v>
      </c>
      <c r="V88" s="728">
        <v>6253</v>
      </c>
      <c r="W88" s="860"/>
    </row>
    <row r="89" spans="1:23" s="732" customFormat="1" x14ac:dyDescent="0.25">
      <c r="A89" s="730">
        <v>75</v>
      </c>
      <c r="B89" s="734" t="s">
        <v>74</v>
      </c>
      <c r="C89" s="652" t="s">
        <v>237</v>
      </c>
      <c r="D89" s="728">
        <v>44628</v>
      </c>
      <c r="E89" s="728">
        <v>3776</v>
      </c>
      <c r="F89" s="728">
        <v>0</v>
      </c>
      <c r="G89" s="728">
        <v>762</v>
      </c>
      <c r="H89" s="728">
        <v>0</v>
      </c>
      <c r="I89" s="728">
        <v>0</v>
      </c>
      <c r="J89" s="728">
        <v>0</v>
      </c>
      <c r="K89" s="728">
        <v>0</v>
      </c>
      <c r="L89" s="728">
        <v>0</v>
      </c>
      <c r="M89" s="728">
        <v>0</v>
      </c>
      <c r="N89" s="728">
        <v>0</v>
      </c>
      <c r="O89" s="728">
        <v>0</v>
      </c>
      <c r="P89" s="728">
        <v>0</v>
      </c>
      <c r="Q89" s="728">
        <v>0</v>
      </c>
      <c r="R89" s="731">
        <v>40090</v>
      </c>
      <c r="S89" s="728">
        <v>0</v>
      </c>
      <c r="T89" s="728">
        <v>5369</v>
      </c>
      <c r="U89" s="728">
        <v>5786</v>
      </c>
      <c r="V89" s="728">
        <v>28935</v>
      </c>
      <c r="W89" s="860"/>
    </row>
    <row r="90" spans="1:23" s="732" customFormat="1" x14ac:dyDescent="0.25">
      <c r="A90" s="730">
        <v>76</v>
      </c>
      <c r="B90" s="733" t="s">
        <v>38</v>
      </c>
      <c r="C90" s="652" t="s">
        <v>39</v>
      </c>
      <c r="D90" s="728">
        <v>28058</v>
      </c>
      <c r="E90" s="728">
        <v>1596</v>
      </c>
      <c r="F90" s="728">
        <v>0</v>
      </c>
      <c r="G90" s="728">
        <v>275</v>
      </c>
      <c r="H90" s="728">
        <v>0</v>
      </c>
      <c r="I90" s="728">
        <v>0</v>
      </c>
      <c r="J90" s="728">
        <v>500</v>
      </c>
      <c r="K90" s="728">
        <v>485</v>
      </c>
      <c r="L90" s="728">
        <v>15</v>
      </c>
      <c r="M90" s="728">
        <v>0</v>
      </c>
      <c r="N90" s="728">
        <v>0</v>
      </c>
      <c r="O90" s="728">
        <v>0</v>
      </c>
      <c r="P90" s="728">
        <v>0</v>
      </c>
      <c r="Q90" s="728">
        <v>0</v>
      </c>
      <c r="R90" s="731">
        <v>25687</v>
      </c>
      <c r="S90" s="728">
        <v>0</v>
      </c>
      <c r="T90" s="728">
        <v>4052</v>
      </c>
      <c r="U90" s="728">
        <v>5785</v>
      </c>
      <c r="V90" s="728">
        <v>15850</v>
      </c>
      <c r="W90" s="860"/>
    </row>
    <row r="91" spans="1:23" s="732" customFormat="1" x14ac:dyDescent="0.25">
      <c r="A91" s="730">
        <v>77</v>
      </c>
      <c r="B91" s="734" t="s">
        <v>40</v>
      </c>
      <c r="C91" s="652" t="s">
        <v>41</v>
      </c>
      <c r="D91" s="728">
        <v>28973</v>
      </c>
      <c r="E91" s="728">
        <v>1619</v>
      </c>
      <c r="F91" s="728">
        <v>0</v>
      </c>
      <c r="G91" s="728">
        <v>286</v>
      </c>
      <c r="H91" s="728">
        <v>0</v>
      </c>
      <c r="I91" s="728">
        <v>0</v>
      </c>
      <c r="J91" s="728">
        <v>722</v>
      </c>
      <c r="K91" s="728">
        <v>722</v>
      </c>
      <c r="L91" s="728">
        <v>0</v>
      </c>
      <c r="M91" s="728">
        <v>0</v>
      </c>
      <c r="N91" s="728">
        <v>0</v>
      </c>
      <c r="O91" s="728">
        <v>0</v>
      </c>
      <c r="P91" s="728">
        <v>0</v>
      </c>
      <c r="Q91" s="728">
        <v>0</v>
      </c>
      <c r="R91" s="731">
        <v>26346</v>
      </c>
      <c r="S91" s="728">
        <v>0</v>
      </c>
      <c r="T91" s="728">
        <v>3324</v>
      </c>
      <c r="U91" s="728">
        <v>4949</v>
      </c>
      <c r="V91" s="728">
        <v>18073</v>
      </c>
      <c r="W91" s="860"/>
    </row>
    <row r="92" spans="1:23" s="732" customFormat="1" x14ac:dyDescent="0.25">
      <c r="A92" s="730">
        <v>78</v>
      </c>
      <c r="B92" s="734" t="s">
        <v>238</v>
      </c>
      <c r="C92" s="652" t="s">
        <v>239</v>
      </c>
      <c r="D92" s="728">
        <v>81600</v>
      </c>
      <c r="E92" s="728">
        <v>4485</v>
      </c>
      <c r="F92" s="728">
        <v>0</v>
      </c>
      <c r="G92" s="728">
        <v>908</v>
      </c>
      <c r="H92" s="728">
        <v>0</v>
      </c>
      <c r="I92" s="728">
        <v>0</v>
      </c>
      <c r="J92" s="728">
        <v>2082</v>
      </c>
      <c r="K92" s="728">
        <v>2082</v>
      </c>
      <c r="L92" s="728">
        <v>0</v>
      </c>
      <c r="M92" s="728">
        <v>0</v>
      </c>
      <c r="N92" s="728">
        <v>0</v>
      </c>
      <c r="O92" s="728">
        <v>0</v>
      </c>
      <c r="P92" s="728">
        <v>0</v>
      </c>
      <c r="Q92" s="728">
        <v>0</v>
      </c>
      <c r="R92" s="731">
        <v>74125</v>
      </c>
      <c r="S92" s="728">
        <v>0</v>
      </c>
      <c r="T92" s="728">
        <v>4038</v>
      </c>
      <c r="U92" s="728">
        <v>18300</v>
      </c>
      <c r="V92" s="728">
        <v>51787</v>
      </c>
      <c r="W92" s="860"/>
    </row>
    <row r="93" spans="1:23" s="732" customFormat="1" x14ac:dyDescent="0.25">
      <c r="A93" s="730">
        <v>79</v>
      </c>
      <c r="B93" s="733" t="s">
        <v>240</v>
      </c>
      <c r="C93" s="652" t="s">
        <v>241</v>
      </c>
      <c r="D93" s="728">
        <v>34560</v>
      </c>
      <c r="E93" s="728">
        <v>1951</v>
      </c>
      <c r="F93" s="728">
        <v>0</v>
      </c>
      <c r="G93" s="728">
        <v>337</v>
      </c>
      <c r="H93" s="728">
        <v>0</v>
      </c>
      <c r="I93" s="728">
        <v>0</v>
      </c>
      <c r="J93" s="728">
        <v>432</v>
      </c>
      <c r="K93" s="728">
        <v>432</v>
      </c>
      <c r="L93" s="728">
        <v>0</v>
      </c>
      <c r="M93" s="728">
        <v>0</v>
      </c>
      <c r="N93" s="728">
        <v>0</v>
      </c>
      <c r="O93" s="728">
        <v>0</v>
      </c>
      <c r="P93" s="728">
        <v>0</v>
      </c>
      <c r="Q93" s="728">
        <v>0</v>
      </c>
      <c r="R93" s="731">
        <v>31840</v>
      </c>
      <c r="S93" s="728">
        <v>0</v>
      </c>
      <c r="T93" s="728">
        <v>3084</v>
      </c>
      <c r="U93" s="728">
        <v>5200</v>
      </c>
      <c r="V93" s="728">
        <v>23556</v>
      </c>
      <c r="W93" s="860"/>
    </row>
    <row r="94" spans="1:23" s="732" customFormat="1" x14ac:dyDescent="0.25">
      <c r="A94" s="730">
        <v>80</v>
      </c>
      <c r="B94" s="733" t="s">
        <v>88</v>
      </c>
      <c r="C94" s="652" t="s">
        <v>89</v>
      </c>
      <c r="D94" s="728">
        <v>42171</v>
      </c>
      <c r="E94" s="728">
        <v>2494</v>
      </c>
      <c r="F94" s="728">
        <v>3</v>
      </c>
      <c r="G94" s="728">
        <v>407</v>
      </c>
      <c r="H94" s="728">
        <v>0</v>
      </c>
      <c r="I94" s="728">
        <v>0</v>
      </c>
      <c r="J94" s="728">
        <v>1440</v>
      </c>
      <c r="K94" s="728">
        <v>1339</v>
      </c>
      <c r="L94" s="728">
        <v>101</v>
      </c>
      <c r="M94" s="728">
        <v>0</v>
      </c>
      <c r="N94" s="728">
        <v>0</v>
      </c>
      <c r="O94" s="728">
        <v>0</v>
      </c>
      <c r="P94" s="728">
        <v>0</v>
      </c>
      <c r="Q94" s="728">
        <v>0</v>
      </c>
      <c r="R94" s="731">
        <v>37827</v>
      </c>
      <c r="S94" s="728">
        <v>0</v>
      </c>
      <c r="T94" s="728">
        <v>7754</v>
      </c>
      <c r="U94" s="728">
        <v>5309</v>
      </c>
      <c r="V94" s="728">
        <v>24764</v>
      </c>
      <c r="W94" s="860"/>
    </row>
    <row r="95" spans="1:23" s="732" customFormat="1" x14ac:dyDescent="0.25">
      <c r="A95" s="730">
        <v>81</v>
      </c>
      <c r="B95" s="651" t="s">
        <v>242</v>
      </c>
      <c r="C95" s="652" t="s">
        <v>243</v>
      </c>
      <c r="D95" s="728">
        <v>100095</v>
      </c>
      <c r="E95" s="728">
        <v>5235</v>
      </c>
      <c r="F95" s="728">
        <v>0</v>
      </c>
      <c r="G95" s="728">
        <v>1058</v>
      </c>
      <c r="H95" s="728">
        <v>0</v>
      </c>
      <c r="I95" s="728">
        <v>0</v>
      </c>
      <c r="J95" s="728">
        <v>865</v>
      </c>
      <c r="K95" s="728">
        <v>865</v>
      </c>
      <c r="L95" s="728">
        <v>0</v>
      </c>
      <c r="M95" s="728">
        <v>0</v>
      </c>
      <c r="N95" s="728">
        <v>0</v>
      </c>
      <c r="O95" s="728">
        <v>0</v>
      </c>
      <c r="P95" s="728">
        <v>0</v>
      </c>
      <c r="Q95" s="728">
        <v>0</v>
      </c>
      <c r="R95" s="731">
        <v>92937</v>
      </c>
      <c r="S95" s="728">
        <v>0</v>
      </c>
      <c r="T95" s="728">
        <v>15167</v>
      </c>
      <c r="U95" s="728">
        <v>14263</v>
      </c>
      <c r="V95" s="728">
        <v>63507</v>
      </c>
      <c r="W95" s="860"/>
    </row>
    <row r="96" spans="1:23" s="732" customFormat="1" x14ac:dyDescent="0.25">
      <c r="A96" s="730">
        <v>82</v>
      </c>
      <c r="B96" s="651" t="s">
        <v>244</v>
      </c>
      <c r="C96" s="652" t="s">
        <v>245</v>
      </c>
      <c r="D96" s="728">
        <v>75571</v>
      </c>
      <c r="E96" s="728">
        <v>4211</v>
      </c>
      <c r="F96" s="728">
        <v>0</v>
      </c>
      <c r="G96" s="728">
        <v>774</v>
      </c>
      <c r="H96" s="728">
        <v>0</v>
      </c>
      <c r="I96" s="728">
        <v>0</v>
      </c>
      <c r="J96" s="728">
        <v>1153</v>
      </c>
      <c r="K96" s="728">
        <v>1153</v>
      </c>
      <c r="L96" s="728">
        <v>0</v>
      </c>
      <c r="M96" s="728">
        <v>0</v>
      </c>
      <c r="N96" s="728">
        <v>0</v>
      </c>
      <c r="O96" s="728">
        <v>0</v>
      </c>
      <c r="P96" s="728">
        <v>0</v>
      </c>
      <c r="Q96" s="728">
        <v>0</v>
      </c>
      <c r="R96" s="731">
        <v>69433</v>
      </c>
      <c r="S96" s="728">
        <v>113</v>
      </c>
      <c r="T96" s="728">
        <v>2227</v>
      </c>
      <c r="U96" s="728">
        <v>15037</v>
      </c>
      <c r="V96" s="728">
        <v>52056</v>
      </c>
      <c r="W96" s="860"/>
    </row>
    <row r="97" spans="1:23" s="732" customFormat="1" x14ac:dyDescent="0.25">
      <c r="A97" s="730">
        <v>83</v>
      </c>
      <c r="B97" s="734" t="s">
        <v>246</v>
      </c>
      <c r="C97" s="652" t="s">
        <v>247</v>
      </c>
      <c r="D97" s="728">
        <v>26285</v>
      </c>
      <c r="E97" s="728">
        <v>1472</v>
      </c>
      <c r="F97" s="728">
        <v>0</v>
      </c>
      <c r="G97" s="728">
        <v>254</v>
      </c>
      <c r="H97" s="728">
        <v>0</v>
      </c>
      <c r="I97" s="728">
        <v>0</v>
      </c>
      <c r="J97" s="728">
        <v>360</v>
      </c>
      <c r="K97" s="728">
        <v>360</v>
      </c>
      <c r="L97" s="728">
        <v>0</v>
      </c>
      <c r="M97" s="728">
        <v>0</v>
      </c>
      <c r="N97" s="728">
        <v>0</v>
      </c>
      <c r="O97" s="728">
        <v>0</v>
      </c>
      <c r="P97" s="728">
        <v>0</v>
      </c>
      <c r="Q97" s="728">
        <v>0</v>
      </c>
      <c r="R97" s="731">
        <v>24199</v>
      </c>
      <c r="S97" s="728">
        <v>0</v>
      </c>
      <c r="T97" s="728">
        <v>870</v>
      </c>
      <c r="U97" s="728">
        <v>7328</v>
      </c>
      <c r="V97" s="728">
        <v>16001</v>
      </c>
      <c r="W97" s="860"/>
    </row>
    <row r="98" spans="1:23" s="732" customFormat="1" x14ac:dyDescent="0.25">
      <c r="A98" s="730">
        <v>84</v>
      </c>
      <c r="B98" s="651" t="s">
        <v>248</v>
      </c>
      <c r="C98" s="652" t="s">
        <v>249</v>
      </c>
      <c r="D98" s="728">
        <v>40973</v>
      </c>
      <c r="E98" s="728">
        <v>2320</v>
      </c>
      <c r="F98" s="728">
        <v>0</v>
      </c>
      <c r="G98" s="728">
        <v>391</v>
      </c>
      <c r="H98" s="728">
        <v>0</v>
      </c>
      <c r="I98" s="728">
        <v>0</v>
      </c>
      <c r="J98" s="728">
        <v>1830</v>
      </c>
      <c r="K98" s="728">
        <v>1830</v>
      </c>
      <c r="L98" s="728">
        <v>0</v>
      </c>
      <c r="M98" s="728">
        <v>0</v>
      </c>
      <c r="N98" s="728">
        <v>0</v>
      </c>
      <c r="O98" s="728">
        <v>0</v>
      </c>
      <c r="P98" s="728">
        <v>0</v>
      </c>
      <c r="Q98" s="728">
        <v>0</v>
      </c>
      <c r="R98" s="731">
        <v>36432</v>
      </c>
      <c r="S98" s="728">
        <v>0</v>
      </c>
      <c r="T98" s="728">
        <v>6608</v>
      </c>
      <c r="U98" s="728">
        <v>2170</v>
      </c>
      <c r="V98" s="728">
        <v>27654</v>
      </c>
      <c r="W98" s="860"/>
    </row>
    <row r="99" spans="1:23" s="732" customFormat="1" ht="12" customHeight="1" x14ac:dyDescent="0.25">
      <c r="A99" s="730">
        <v>85</v>
      </c>
      <c r="B99" s="651" t="s">
        <v>250</v>
      </c>
      <c r="C99" s="652" t="s">
        <v>251</v>
      </c>
      <c r="D99" s="728">
        <v>39434</v>
      </c>
      <c r="E99" s="728">
        <v>2176</v>
      </c>
      <c r="F99" s="728">
        <v>0</v>
      </c>
      <c r="G99" s="728">
        <v>395</v>
      </c>
      <c r="H99" s="728">
        <v>0</v>
      </c>
      <c r="I99" s="728">
        <v>0</v>
      </c>
      <c r="J99" s="728">
        <v>586</v>
      </c>
      <c r="K99" s="728">
        <v>586</v>
      </c>
      <c r="L99" s="728">
        <v>0</v>
      </c>
      <c r="M99" s="728">
        <v>0</v>
      </c>
      <c r="N99" s="728">
        <v>0</v>
      </c>
      <c r="O99" s="728">
        <v>0</v>
      </c>
      <c r="P99" s="728">
        <v>0</v>
      </c>
      <c r="Q99" s="728">
        <v>0</v>
      </c>
      <c r="R99" s="731">
        <v>36277</v>
      </c>
      <c r="S99" s="728">
        <v>0</v>
      </c>
      <c r="T99" s="728">
        <v>4679</v>
      </c>
      <c r="U99" s="728">
        <v>7165</v>
      </c>
      <c r="V99" s="728">
        <v>24433</v>
      </c>
      <c r="W99" s="860"/>
    </row>
    <row r="100" spans="1:23" s="732" customFormat="1" x14ac:dyDescent="0.25">
      <c r="A100" s="730">
        <v>86</v>
      </c>
      <c r="B100" s="733" t="s">
        <v>32</v>
      </c>
      <c r="C100" s="652" t="s">
        <v>33</v>
      </c>
      <c r="D100" s="728">
        <v>49078</v>
      </c>
      <c r="E100" s="728">
        <v>2615</v>
      </c>
      <c r="F100" s="728">
        <v>0</v>
      </c>
      <c r="G100" s="728">
        <v>502</v>
      </c>
      <c r="H100" s="728">
        <v>0</v>
      </c>
      <c r="I100" s="728">
        <v>933</v>
      </c>
      <c r="J100" s="728">
        <v>1116</v>
      </c>
      <c r="K100" s="728">
        <v>1023</v>
      </c>
      <c r="L100" s="728">
        <v>93</v>
      </c>
      <c r="M100" s="728">
        <v>0</v>
      </c>
      <c r="N100" s="728">
        <v>0</v>
      </c>
      <c r="O100" s="728">
        <v>0</v>
      </c>
      <c r="P100" s="728">
        <v>0</v>
      </c>
      <c r="Q100" s="728">
        <v>0</v>
      </c>
      <c r="R100" s="731">
        <v>43912</v>
      </c>
      <c r="S100" s="728">
        <v>0</v>
      </c>
      <c r="T100" s="728">
        <v>3245</v>
      </c>
      <c r="U100" s="728">
        <v>5809</v>
      </c>
      <c r="V100" s="728">
        <v>34858</v>
      </c>
      <c r="W100" s="860"/>
    </row>
    <row r="101" spans="1:23" s="732" customFormat="1" x14ac:dyDescent="0.25">
      <c r="A101" s="730">
        <v>87</v>
      </c>
      <c r="B101" s="734" t="s">
        <v>252</v>
      </c>
      <c r="C101" s="652" t="s">
        <v>253</v>
      </c>
      <c r="D101" s="728">
        <v>30321</v>
      </c>
      <c r="E101" s="728">
        <v>1674</v>
      </c>
      <c r="F101" s="728">
        <v>0</v>
      </c>
      <c r="G101" s="728">
        <v>295</v>
      </c>
      <c r="H101" s="728">
        <v>0</v>
      </c>
      <c r="I101" s="728">
        <v>0</v>
      </c>
      <c r="J101" s="728">
        <v>706</v>
      </c>
      <c r="K101" s="728">
        <v>706</v>
      </c>
      <c r="L101" s="728">
        <v>0</v>
      </c>
      <c r="M101" s="728">
        <v>0</v>
      </c>
      <c r="N101" s="728">
        <v>0</v>
      </c>
      <c r="O101" s="728">
        <v>0</v>
      </c>
      <c r="P101" s="728">
        <v>0</v>
      </c>
      <c r="Q101" s="728">
        <v>0</v>
      </c>
      <c r="R101" s="731">
        <v>27646</v>
      </c>
      <c r="S101" s="728">
        <v>0</v>
      </c>
      <c r="T101" s="728">
        <v>4084</v>
      </c>
      <c r="U101" s="728">
        <v>3940</v>
      </c>
      <c r="V101" s="728">
        <v>19622</v>
      </c>
      <c r="W101" s="860"/>
    </row>
    <row r="102" spans="1:23" s="732" customFormat="1" x14ac:dyDescent="0.25">
      <c r="A102" s="730">
        <v>88</v>
      </c>
      <c r="B102" s="734" t="s">
        <v>254</v>
      </c>
      <c r="C102" s="652" t="s">
        <v>255</v>
      </c>
      <c r="D102" s="728">
        <v>44502</v>
      </c>
      <c r="E102" s="728">
        <v>2566</v>
      </c>
      <c r="F102" s="728">
        <v>0</v>
      </c>
      <c r="G102" s="728">
        <v>423</v>
      </c>
      <c r="H102" s="728">
        <v>0</v>
      </c>
      <c r="I102" s="728">
        <v>0</v>
      </c>
      <c r="J102" s="728">
        <v>1364</v>
      </c>
      <c r="K102" s="728">
        <v>1364</v>
      </c>
      <c r="L102" s="728">
        <v>0</v>
      </c>
      <c r="M102" s="728">
        <v>0</v>
      </c>
      <c r="N102" s="728">
        <v>0</v>
      </c>
      <c r="O102" s="728">
        <v>0</v>
      </c>
      <c r="P102" s="728">
        <v>0</v>
      </c>
      <c r="Q102" s="728">
        <v>0</v>
      </c>
      <c r="R102" s="731">
        <v>40149</v>
      </c>
      <c r="S102" s="728">
        <v>0</v>
      </c>
      <c r="T102" s="728">
        <v>5486</v>
      </c>
      <c r="U102" s="728">
        <v>5982</v>
      </c>
      <c r="V102" s="728">
        <v>28681</v>
      </c>
      <c r="W102" s="860"/>
    </row>
    <row r="103" spans="1:23" s="732" customFormat="1" x14ac:dyDescent="0.25">
      <c r="A103" s="730">
        <v>89</v>
      </c>
      <c r="B103" s="651" t="s">
        <v>256</v>
      </c>
      <c r="C103" s="652" t="s">
        <v>257</v>
      </c>
      <c r="D103" s="728">
        <v>77974</v>
      </c>
      <c r="E103" s="728">
        <v>4430</v>
      </c>
      <c r="F103" s="728">
        <v>0</v>
      </c>
      <c r="G103" s="728">
        <v>806</v>
      </c>
      <c r="H103" s="728">
        <v>0</v>
      </c>
      <c r="I103" s="728">
        <v>0</v>
      </c>
      <c r="J103" s="728">
        <v>2898</v>
      </c>
      <c r="K103" s="728">
        <v>2888</v>
      </c>
      <c r="L103" s="728">
        <v>10</v>
      </c>
      <c r="M103" s="728">
        <v>0</v>
      </c>
      <c r="N103" s="728">
        <v>0</v>
      </c>
      <c r="O103" s="728">
        <v>0</v>
      </c>
      <c r="P103" s="728">
        <v>0</v>
      </c>
      <c r="Q103" s="728">
        <v>0</v>
      </c>
      <c r="R103" s="731">
        <v>69840</v>
      </c>
      <c r="S103" s="728">
        <v>0</v>
      </c>
      <c r="T103" s="728">
        <v>7058</v>
      </c>
      <c r="U103" s="728">
        <v>11130</v>
      </c>
      <c r="V103" s="728">
        <v>51652</v>
      </c>
      <c r="W103" s="860"/>
    </row>
    <row r="104" spans="1:23" s="732" customFormat="1" x14ac:dyDescent="0.25">
      <c r="A104" s="730">
        <v>90</v>
      </c>
      <c r="B104" s="733" t="s">
        <v>76</v>
      </c>
      <c r="C104" s="652" t="s">
        <v>77</v>
      </c>
      <c r="D104" s="728">
        <v>35459</v>
      </c>
      <c r="E104" s="728">
        <v>2026</v>
      </c>
      <c r="F104" s="728">
        <v>0</v>
      </c>
      <c r="G104" s="728">
        <v>363</v>
      </c>
      <c r="H104" s="728">
        <v>0</v>
      </c>
      <c r="I104" s="728">
        <v>0</v>
      </c>
      <c r="J104" s="728">
        <v>1063</v>
      </c>
      <c r="K104" s="728">
        <v>1045</v>
      </c>
      <c r="L104" s="728">
        <v>18</v>
      </c>
      <c r="M104" s="728">
        <v>0</v>
      </c>
      <c r="N104" s="728">
        <v>0</v>
      </c>
      <c r="O104" s="728">
        <v>0</v>
      </c>
      <c r="P104" s="728">
        <v>0</v>
      </c>
      <c r="Q104" s="728">
        <v>0</v>
      </c>
      <c r="R104" s="731">
        <v>32007</v>
      </c>
      <c r="S104" s="728">
        <v>0</v>
      </c>
      <c r="T104" s="728">
        <v>5613</v>
      </c>
      <c r="U104" s="728">
        <v>4282</v>
      </c>
      <c r="V104" s="728">
        <v>22112</v>
      </c>
      <c r="W104" s="860"/>
    </row>
    <row r="105" spans="1:23" s="732" customFormat="1" ht="13.5" customHeight="1" x14ac:dyDescent="0.25">
      <c r="A105" s="730">
        <v>91</v>
      </c>
      <c r="B105" s="651" t="s">
        <v>258</v>
      </c>
      <c r="C105" s="652" t="s">
        <v>259</v>
      </c>
      <c r="D105" s="728">
        <v>2667</v>
      </c>
      <c r="E105" s="728">
        <v>0</v>
      </c>
      <c r="F105" s="728">
        <v>0</v>
      </c>
      <c r="G105" s="728">
        <v>0</v>
      </c>
      <c r="H105" s="728">
        <v>0</v>
      </c>
      <c r="I105" s="728">
        <v>0</v>
      </c>
      <c r="J105" s="728">
        <v>0</v>
      </c>
      <c r="K105" s="728">
        <v>0</v>
      </c>
      <c r="L105" s="728">
        <v>0</v>
      </c>
      <c r="M105" s="728">
        <v>2667</v>
      </c>
      <c r="N105" s="728">
        <v>2667</v>
      </c>
      <c r="O105" s="728">
        <v>0</v>
      </c>
      <c r="P105" s="728">
        <v>0</v>
      </c>
      <c r="Q105" s="728">
        <v>0</v>
      </c>
      <c r="R105" s="731">
        <v>0</v>
      </c>
      <c r="S105" s="728">
        <v>0</v>
      </c>
      <c r="T105" s="728">
        <v>0</v>
      </c>
      <c r="U105" s="728">
        <v>0</v>
      </c>
      <c r="V105" s="728">
        <v>0</v>
      </c>
      <c r="W105" s="860"/>
    </row>
    <row r="106" spans="1:23" s="732" customFormat="1" x14ac:dyDescent="0.25">
      <c r="A106" s="730">
        <v>92</v>
      </c>
      <c r="B106" s="734" t="s">
        <v>264</v>
      </c>
      <c r="C106" s="652" t="s">
        <v>265</v>
      </c>
      <c r="D106" s="728">
        <v>28</v>
      </c>
      <c r="E106" s="728">
        <v>0</v>
      </c>
      <c r="F106" s="728">
        <v>0</v>
      </c>
      <c r="G106" s="728">
        <v>0</v>
      </c>
      <c r="H106" s="728">
        <v>0</v>
      </c>
      <c r="I106" s="728">
        <v>0</v>
      </c>
      <c r="J106" s="728">
        <v>0</v>
      </c>
      <c r="K106" s="728">
        <v>0</v>
      </c>
      <c r="L106" s="728">
        <v>0</v>
      </c>
      <c r="M106" s="728">
        <v>28</v>
      </c>
      <c r="N106" s="728">
        <v>28</v>
      </c>
      <c r="O106" s="728">
        <v>0</v>
      </c>
      <c r="P106" s="728">
        <v>0</v>
      </c>
      <c r="Q106" s="728">
        <v>0</v>
      </c>
      <c r="R106" s="731">
        <v>0</v>
      </c>
      <c r="S106" s="728">
        <v>0</v>
      </c>
      <c r="T106" s="728">
        <v>0</v>
      </c>
      <c r="U106" s="728">
        <v>0</v>
      </c>
      <c r="V106" s="728">
        <v>0</v>
      </c>
      <c r="W106" s="860"/>
    </row>
    <row r="107" spans="1:23" s="732" customFormat="1" x14ac:dyDescent="0.25">
      <c r="A107" s="730">
        <v>93</v>
      </c>
      <c r="B107" s="734" t="s">
        <v>272</v>
      </c>
      <c r="C107" s="652" t="s">
        <v>273</v>
      </c>
      <c r="D107" s="728">
        <v>10005</v>
      </c>
      <c r="E107" s="728">
        <v>0</v>
      </c>
      <c r="F107" s="728">
        <v>0</v>
      </c>
      <c r="G107" s="728">
        <v>0</v>
      </c>
      <c r="H107" s="728">
        <v>0</v>
      </c>
      <c r="I107" s="728">
        <v>0</v>
      </c>
      <c r="J107" s="728">
        <v>0</v>
      </c>
      <c r="K107" s="728">
        <v>0</v>
      </c>
      <c r="L107" s="728">
        <v>0</v>
      </c>
      <c r="M107" s="728">
        <v>10005</v>
      </c>
      <c r="N107" s="728">
        <v>10005</v>
      </c>
      <c r="O107" s="728">
        <v>0</v>
      </c>
      <c r="P107" s="728">
        <v>0</v>
      </c>
      <c r="Q107" s="728">
        <v>0</v>
      </c>
      <c r="R107" s="731">
        <v>0</v>
      </c>
      <c r="S107" s="728">
        <v>0</v>
      </c>
      <c r="T107" s="728">
        <v>0</v>
      </c>
      <c r="U107" s="728">
        <v>0</v>
      </c>
      <c r="V107" s="728">
        <v>0</v>
      </c>
      <c r="W107" s="860"/>
    </row>
    <row r="108" spans="1:23" s="732" customFormat="1" ht="11.25" customHeight="1" x14ac:dyDescent="0.25">
      <c r="A108" s="730">
        <v>94</v>
      </c>
      <c r="B108" s="734" t="s">
        <v>278</v>
      </c>
      <c r="C108" s="652" t="s">
        <v>279</v>
      </c>
      <c r="D108" s="728">
        <v>16</v>
      </c>
      <c r="E108" s="728">
        <v>0</v>
      </c>
      <c r="F108" s="728">
        <v>0</v>
      </c>
      <c r="G108" s="728">
        <v>0</v>
      </c>
      <c r="H108" s="728">
        <v>0</v>
      </c>
      <c r="I108" s="728">
        <v>0</v>
      </c>
      <c r="J108" s="728">
        <v>0</v>
      </c>
      <c r="K108" s="728">
        <v>0</v>
      </c>
      <c r="L108" s="728">
        <v>0</v>
      </c>
      <c r="M108" s="728">
        <v>16</v>
      </c>
      <c r="N108" s="728">
        <v>16</v>
      </c>
      <c r="O108" s="728">
        <v>0</v>
      </c>
      <c r="P108" s="728">
        <v>0</v>
      </c>
      <c r="Q108" s="728">
        <v>0</v>
      </c>
      <c r="R108" s="731">
        <v>0</v>
      </c>
      <c r="S108" s="728">
        <v>0</v>
      </c>
      <c r="T108" s="728">
        <v>0</v>
      </c>
      <c r="U108" s="728">
        <v>0</v>
      </c>
      <c r="V108" s="728">
        <v>0</v>
      </c>
      <c r="W108" s="860"/>
    </row>
    <row r="109" spans="1:23" s="732" customFormat="1" ht="14.25" customHeight="1" x14ac:dyDescent="0.25">
      <c r="A109" s="730">
        <v>95</v>
      </c>
      <c r="B109" s="733" t="s">
        <v>284</v>
      </c>
      <c r="C109" s="652" t="s">
        <v>285</v>
      </c>
      <c r="D109" s="728">
        <v>68</v>
      </c>
      <c r="E109" s="728">
        <v>0</v>
      </c>
      <c r="F109" s="728">
        <v>0</v>
      </c>
      <c r="G109" s="728">
        <v>0</v>
      </c>
      <c r="H109" s="728">
        <v>0</v>
      </c>
      <c r="I109" s="728">
        <v>0</v>
      </c>
      <c r="J109" s="728">
        <v>0</v>
      </c>
      <c r="K109" s="728">
        <v>0</v>
      </c>
      <c r="L109" s="728">
        <v>0</v>
      </c>
      <c r="M109" s="728">
        <v>68</v>
      </c>
      <c r="N109" s="728">
        <v>59</v>
      </c>
      <c r="O109" s="728">
        <v>9</v>
      </c>
      <c r="P109" s="728">
        <v>0</v>
      </c>
      <c r="Q109" s="728">
        <v>0</v>
      </c>
      <c r="R109" s="731">
        <v>0</v>
      </c>
      <c r="S109" s="728">
        <v>0</v>
      </c>
      <c r="T109" s="728">
        <v>0</v>
      </c>
      <c r="U109" s="728">
        <v>0</v>
      </c>
      <c r="V109" s="728">
        <v>0</v>
      </c>
      <c r="W109" s="860"/>
    </row>
    <row r="110" spans="1:23" s="732" customFormat="1" x14ac:dyDescent="0.25">
      <c r="A110" s="730">
        <v>96</v>
      </c>
      <c r="B110" s="734" t="s">
        <v>290</v>
      </c>
      <c r="C110" s="652" t="s">
        <v>291</v>
      </c>
      <c r="D110" s="728">
        <v>2824</v>
      </c>
      <c r="E110" s="728">
        <v>0</v>
      </c>
      <c r="F110" s="728">
        <v>0</v>
      </c>
      <c r="G110" s="728">
        <v>0</v>
      </c>
      <c r="H110" s="728">
        <v>0</v>
      </c>
      <c r="I110" s="728">
        <v>0</v>
      </c>
      <c r="J110" s="728">
        <v>0</v>
      </c>
      <c r="K110" s="728">
        <v>0</v>
      </c>
      <c r="L110" s="728">
        <v>0</v>
      </c>
      <c r="M110" s="728">
        <v>2824</v>
      </c>
      <c r="N110" s="728">
        <v>2824</v>
      </c>
      <c r="O110" s="728">
        <v>0</v>
      </c>
      <c r="P110" s="728">
        <v>0</v>
      </c>
      <c r="Q110" s="728">
        <v>0</v>
      </c>
      <c r="R110" s="731">
        <v>0</v>
      </c>
      <c r="S110" s="728">
        <v>0</v>
      </c>
      <c r="T110" s="728">
        <v>0</v>
      </c>
      <c r="U110" s="728">
        <v>0</v>
      </c>
      <c r="V110" s="728">
        <v>0</v>
      </c>
      <c r="W110" s="860"/>
    </row>
    <row r="111" spans="1:23" s="732" customFormat="1" x14ac:dyDescent="0.25">
      <c r="A111" s="730">
        <v>97</v>
      </c>
      <c r="B111" s="734" t="s">
        <v>294</v>
      </c>
      <c r="C111" s="652" t="s">
        <v>295</v>
      </c>
      <c r="D111" s="728">
        <v>12</v>
      </c>
      <c r="E111" s="728">
        <v>0</v>
      </c>
      <c r="F111" s="728">
        <v>0</v>
      </c>
      <c r="G111" s="728">
        <v>0</v>
      </c>
      <c r="H111" s="728">
        <v>0</v>
      </c>
      <c r="I111" s="728">
        <v>0</v>
      </c>
      <c r="J111" s="728">
        <v>0</v>
      </c>
      <c r="K111" s="728">
        <v>0</v>
      </c>
      <c r="L111" s="728">
        <v>0</v>
      </c>
      <c r="M111" s="728">
        <v>12</v>
      </c>
      <c r="N111" s="728">
        <v>12</v>
      </c>
      <c r="O111" s="728">
        <v>0</v>
      </c>
      <c r="P111" s="728">
        <v>0</v>
      </c>
      <c r="Q111" s="728">
        <v>0</v>
      </c>
      <c r="R111" s="731">
        <v>0</v>
      </c>
      <c r="S111" s="728">
        <v>0</v>
      </c>
      <c r="T111" s="728">
        <v>0</v>
      </c>
      <c r="U111" s="728">
        <v>0</v>
      </c>
      <c r="V111" s="728">
        <v>0</v>
      </c>
      <c r="W111" s="860"/>
    </row>
    <row r="112" spans="1:23" s="732" customFormat="1" x14ac:dyDescent="0.25">
      <c r="A112" s="730">
        <v>98</v>
      </c>
      <c r="B112" s="651" t="s">
        <v>34</v>
      </c>
      <c r="C112" s="652" t="s">
        <v>35</v>
      </c>
      <c r="D112" s="728">
        <v>6538</v>
      </c>
      <c r="E112" s="728">
        <v>0</v>
      </c>
      <c r="F112" s="728">
        <v>0</v>
      </c>
      <c r="G112" s="728">
        <v>0</v>
      </c>
      <c r="H112" s="728">
        <v>0</v>
      </c>
      <c r="I112" s="728">
        <v>0</v>
      </c>
      <c r="J112" s="728">
        <v>0</v>
      </c>
      <c r="K112" s="728">
        <v>0</v>
      </c>
      <c r="L112" s="728">
        <v>0</v>
      </c>
      <c r="M112" s="728">
        <v>144</v>
      </c>
      <c r="N112" s="728">
        <v>144</v>
      </c>
      <c r="O112" s="728">
        <v>0</v>
      </c>
      <c r="P112" s="728">
        <v>0</v>
      </c>
      <c r="Q112" s="728">
        <v>6394</v>
      </c>
      <c r="R112" s="731">
        <v>0</v>
      </c>
      <c r="S112" s="728">
        <v>0</v>
      </c>
      <c r="T112" s="728">
        <v>0</v>
      </c>
      <c r="U112" s="728">
        <v>0</v>
      </c>
      <c r="V112" s="728">
        <v>0</v>
      </c>
      <c r="W112" s="860"/>
    </row>
    <row r="113" spans="1:23" s="732" customFormat="1" x14ac:dyDescent="0.25">
      <c r="A113" s="730">
        <v>99</v>
      </c>
      <c r="B113" s="651" t="s">
        <v>297</v>
      </c>
      <c r="C113" s="652" t="s">
        <v>298</v>
      </c>
      <c r="D113" s="728">
        <v>54613</v>
      </c>
      <c r="E113" s="728">
        <v>0</v>
      </c>
      <c r="F113" s="728">
        <v>0</v>
      </c>
      <c r="G113" s="728">
        <v>0</v>
      </c>
      <c r="H113" s="728">
        <v>0</v>
      </c>
      <c r="I113" s="728">
        <v>0</v>
      </c>
      <c r="J113" s="728">
        <v>0</v>
      </c>
      <c r="K113" s="728">
        <v>0</v>
      </c>
      <c r="L113" s="728">
        <v>0</v>
      </c>
      <c r="M113" s="728">
        <v>54613</v>
      </c>
      <c r="N113" s="728">
        <v>54613</v>
      </c>
      <c r="O113" s="728">
        <v>0</v>
      </c>
      <c r="P113" s="728">
        <v>0</v>
      </c>
      <c r="Q113" s="728">
        <v>0</v>
      </c>
      <c r="R113" s="731">
        <v>0</v>
      </c>
      <c r="S113" s="728">
        <v>0</v>
      </c>
      <c r="T113" s="728">
        <v>0</v>
      </c>
      <c r="U113" s="728">
        <v>0</v>
      </c>
      <c r="V113" s="728">
        <v>0</v>
      </c>
      <c r="W113" s="860"/>
    </row>
    <row r="114" spans="1:23" s="732" customFormat="1" x14ac:dyDescent="0.25">
      <c r="A114" s="730">
        <v>100</v>
      </c>
      <c r="B114" s="651" t="s">
        <v>299</v>
      </c>
      <c r="C114" s="652" t="s">
        <v>300</v>
      </c>
      <c r="D114" s="728">
        <v>33737</v>
      </c>
      <c r="E114" s="728">
        <v>0</v>
      </c>
      <c r="F114" s="728">
        <v>0</v>
      </c>
      <c r="G114" s="728">
        <v>0</v>
      </c>
      <c r="H114" s="728">
        <v>0</v>
      </c>
      <c r="I114" s="728">
        <v>0</v>
      </c>
      <c r="J114" s="728">
        <v>0</v>
      </c>
      <c r="K114" s="728">
        <v>0</v>
      </c>
      <c r="L114" s="728">
        <v>0</v>
      </c>
      <c r="M114" s="728">
        <v>33737</v>
      </c>
      <c r="N114" s="728">
        <v>33737</v>
      </c>
      <c r="O114" s="728">
        <v>0</v>
      </c>
      <c r="P114" s="728">
        <v>0</v>
      </c>
      <c r="Q114" s="728">
        <v>0</v>
      </c>
      <c r="R114" s="731">
        <v>0</v>
      </c>
      <c r="S114" s="728">
        <v>0</v>
      </c>
      <c r="T114" s="728">
        <v>0</v>
      </c>
      <c r="U114" s="728">
        <v>0</v>
      </c>
      <c r="V114" s="728">
        <v>0</v>
      </c>
      <c r="W114" s="860"/>
    </row>
    <row r="115" spans="1:23" s="732" customFormat="1" x14ac:dyDescent="0.25">
      <c r="A115" s="730">
        <v>101</v>
      </c>
      <c r="B115" s="651" t="s">
        <v>60</v>
      </c>
      <c r="C115" s="652" t="s">
        <v>303</v>
      </c>
      <c r="D115" s="728">
        <v>81242</v>
      </c>
      <c r="E115" s="728">
        <v>7767</v>
      </c>
      <c r="F115" s="728">
        <v>0</v>
      </c>
      <c r="G115" s="728">
        <v>1620</v>
      </c>
      <c r="H115" s="728">
        <v>0</v>
      </c>
      <c r="I115" s="728">
        <v>0</v>
      </c>
      <c r="J115" s="728">
        <v>0</v>
      </c>
      <c r="K115" s="728">
        <v>0</v>
      </c>
      <c r="L115" s="728">
        <v>0</v>
      </c>
      <c r="M115" s="728">
        <v>0</v>
      </c>
      <c r="N115" s="728">
        <v>0</v>
      </c>
      <c r="O115" s="728">
        <v>0</v>
      </c>
      <c r="P115" s="728">
        <v>0</v>
      </c>
      <c r="Q115" s="728">
        <v>0</v>
      </c>
      <c r="R115" s="731">
        <v>71855</v>
      </c>
      <c r="S115" s="728">
        <v>0</v>
      </c>
      <c r="T115" s="728">
        <v>21956</v>
      </c>
      <c r="U115" s="728">
        <v>0</v>
      </c>
      <c r="V115" s="728">
        <v>49899</v>
      </c>
      <c r="W115" s="860"/>
    </row>
    <row r="116" spans="1:23" s="732" customFormat="1" x14ac:dyDescent="0.25">
      <c r="A116" s="730">
        <v>102</v>
      </c>
      <c r="B116" s="733" t="s">
        <v>56</v>
      </c>
      <c r="C116" s="652" t="s">
        <v>304</v>
      </c>
      <c r="D116" s="728">
        <v>134898</v>
      </c>
      <c r="E116" s="728">
        <v>8475</v>
      </c>
      <c r="F116" s="728">
        <v>3</v>
      </c>
      <c r="G116" s="728">
        <v>1740</v>
      </c>
      <c r="H116" s="728">
        <v>0</v>
      </c>
      <c r="I116" s="728">
        <v>3952</v>
      </c>
      <c r="J116" s="728">
        <v>2902</v>
      </c>
      <c r="K116" s="728">
        <v>2726</v>
      </c>
      <c r="L116" s="728">
        <v>176</v>
      </c>
      <c r="M116" s="728">
        <v>0</v>
      </c>
      <c r="N116" s="728">
        <v>0</v>
      </c>
      <c r="O116" s="728">
        <v>0</v>
      </c>
      <c r="P116" s="728">
        <v>0</v>
      </c>
      <c r="Q116" s="728">
        <v>7964</v>
      </c>
      <c r="R116" s="731">
        <v>109862</v>
      </c>
      <c r="S116" s="728">
        <v>0</v>
      </c>
      <c r="T116" s="728">
        <v>23215</v>
      </c>
      <c r="U116" s="728">
        <v>8935</v>
      </c>
      <c r="V116" s="728">
        <v>77712</v>
      </c>
      <c r="W116" s="860"/>
    </row>
    <row r="117" spans="1:23" s="732" customFormat="1" x14ac:dyDescent="0.25">
      <c r="A117" s="730">
        <v>103</v>
      </c>
      <c r="B117" s="651" t="s">
        <v>307</v>
      </c>
      <c r="C117" s="652" t="s">
        <v>308</v>
      </c>
      <c r="D117" s="728">
        <v>22436</v>
      </c>
      <c r="E117" s="728">
        <v>0</v>
      </c>
      <c r="F117" s="728">
        <v>0</v>
      </c>
      <c r="G117" s="728">
        <v>0</v>
      </c>
      <c r="H117" s="728">
        <v>0</v>
      </c>
      <c r="I117" s="728">
        <v>0</v>
      </c>
      <c r="J117" s="728">
        <v>0</v>
      </c>
      <c r="K117" s="728">
        <v>0</v>
      </c>
      <c r="L117" s="728">
        <v>0</v>
      </c>
      <c r="M117" s="728">
        <v>22436</v>
      </c>
      <c r="N117" s="728">
        <v>0</v>
      </c>
      <c r="O117" s="728">
        <v>21827</v>
      </c>
      <c r="P117" s="728">
        <v>609</v>
      </c>
      <c r="Q117" s="728">
        <v>0</v>
      </c>
      <c r="R117" s="731">
        <v>0</v>
      </c>
      <c r="S117" s="728">
        <v>0</v>
      </c>
      <c r="T117" s="728">
        <v>0</v>
      </c>
      <c r="U117" s="728">
        <v>0</v>
      </c>
      <c r="V117" s="728">
        <v>0</v>
      </c>
      <c r="W117" s="860"/>
    </row>
    <row r="118" spans="1:23" x14ac:dyDescent="0.25">
      <c r="A118" s="923">
        <v>104</v>
      </c>
      <c r="B118" s="923" t="s">
        <v>70</v>
      </c>
      <c r="C118" s="924" t="s">
        <v>296</v>
      </c>
      <c r="D118" s="728">
        <v>15911</v>
      </c>
      <c r="E118" s="728"/>
      <c r="F118" s="728"/>
      <c r="G118" s="728"/>
      <c r="H118" s="728"/>
      <c r="I118" s="728">
        <v>15911</v>
      </c>
      <c r="J118" s="728">
        <v>0</v>
      </c>
      <c r="K118" s="925"/>
      <c r="L118" s="925"/>
      <c r="M118" s="728">
        <v>0</v>
      </c>
      <c r="N118" s="925"/>
      <c r="O118" s="925"/>
      <c r="P118" s="925"/>
      <c r="Q118" s="925"/>
      <c r="R118" s="731">
        <v>0</v>
      </c>
      <c r="S118" s="925"/>
      <c r="T118" s="925"/>
      <c r="U118" s="925"/>
      <c r="V118" s="925"/>
      <c r="W118" s="860"/>
    </row>
    <row r="123" spans="1:23" x14ac:dyDescent="0.25">
      <c r="D123" s="932"/>
      <c r="E123" s="932"/>
      <c r="F123" s="932"/>
      <c r="G123" s="932"/>
      <c r="H123" s="932"/>
      <c r="I123" s="932"/>
      <c r="J123" s="932"/>
      <c r="K123" s="932"/>
      <c r="L123" s="932"/>
      <c r="M123" s="932"/>
      <c r="N123" s="932"/>
      <c r="O123" s="932"/>
      <c r="P123" s="932"/>
      <c r="Q123" s="932"/>
      <c r="R123" s="932"/>
      <c r="S123" s="932"/>
      <c r="T123" s="932"/>
      <c r="U123" s="932"/>
      <c r="V123" s="932"/>
    </row>
  </sheetData>
  <mergeCells count="27">
    <mergeCell ref="A83:A86"/>
    <mergeCell ref="B83:B86"/>
    <mergeCell ref="I5:I7"/>
    <mergeCell ref="J5:L5"/>
    <mergeCell ref="M5:P5"/>
    <mergeCell ref="J6:J7"/>
    <mergeCell ref="K6:K7"/>
    <mergeCell ref="L6:L7"/>
    <mergeCell ref="M6:M7"/>
    <mergeCell ref="N6:P6"/>
    <mergeCell ref="A8:C8"/>
    <mergeCell ref="A11:C11"/>
    <mergeCell ref="A2:V2"/>
    <mergeCell ref="A4:A7"/>
    <mergeCell ref="B4:B7"/>
    <mergeCell ref="C4:C7"/>
    <mergeCell ref="D4:V4"/>
    <mergeCell ref="D5:D7"/>
    <mergeCell ref="E5:E7"/>
    <mergeCell ref="F5:F7"/>
    <mergeCell ref="G5:G7"/>
    <mergeCell ref="H5:H7"/>
    <mergeCell ref="R6:R7"/>
    <mergeCell ref="S6:T6"/>
    <mergeCell ref="U6:V6"/>
    <mergeCell ref="Q5:Q7"/>
    <mergeCell ref="R5:V5"/>
  </mergeCells>
  <pageMargins left="0" right="0" top="0" bottom="0" header="0" footer="0"/>
  <pageSetup paperSize="9" scale="85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54"/>
  <sheetViews>
    <sheetView workbookViewId="0">
      <pane xSplit="3" ySplit="7" topLeftCell="D32" activePane="bottomRight" state="frozen"/>
      <selection activeCell="O15" sqref="O15:O17"/>
      <selection pane="topRight" activeCell="O15" sqref="O15:O17"/>
      <selection pane="bottomLeft" activeCell="O15" sqref="O15:O17"/>
      <selection pane="bottomRight" activeCell="E50" sqref="E50"/>
    </sheetView>
  </sheetViews>
  <sheetFormatPr defaultRowHeight="15" x14ac:dyDescent="0.25"/>
  <cols>
    <col min="1" max="2" width="9.140625" style="867"/>
    <col min="3" max="3" width="49.28515625" style="867" customWidth="1"/>
    <col min="4" max="4" width="9.140625" style="862"/>
    <col min="5" max="5" width="11" style="862" customWidth="1"/>
    <col min="6" max="16384" width="9.140625" style="862"/>
  </cols>
  <sheetData>
    <row r="1" spans="1:20" x14ac:dyDescent="0.25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  <c r="Q1" s="861"/>
      <c r="R1" s="861"/>
      <c r="S1" s="861"/>
      <c r="T1" s="861"/>
    </row>
    <row r="2" spans="1:20" x14ac:dyDescent="0.25">
      <c r="A2" s="1199" t="s">
        <v>91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</row>
    <row r="3" spans="1:20" x14ac:dyDescent="0.25">
      <c r="A3" s="861"/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</row>
    <row r="4" spans="1:20" x14ac:dyDescent="0.25">
      <c r="A4" s="1200" t="s">
        <v>0</v>
      </c>
      <c r="B4" s="1200" t="s">
        <v>1</v>
      </c>
      <c r="C4" s="1201" t="s">
        <v>2</v>
      </c>
      <c r="D4" s="1202" t="s">
        <v>3</v>
      </c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</row>
    <row r="5" spans="1:20" ht="40.5" customHeight="1" x14ac:dyDescent="0.25">
      <c r="A5" s="1200"/>
      <c r="B5" s="1200"/>
      <c r="C5" s="1201"/>
      <c r="D5" s="1202" t="s">
        <v>3</v>
      </c>
      <c r="E5" s="1198" t="s">
        <v>4</v>
      </c>
      <c r="F5" s="1198"/>
      <c r="G5" s="1198" t="s">
        <v>5</v>
      </c>
      <c r="H5" s="1198"/>
      <c r="I5" s="1198" t="s">
        <v>6</v>
      </c>
      <c r="J5" s="1198"/>
      <c r="K5" s="1198" t="s">
        <v>7</v>
      </c>
      <c r="L5" s="1198"/>
      <c r="M5" s="1198" t="s">
        <v>8</v>
      </c>
      <c r="N5" s="1198"/>
      <c r="O5" s="1198" t="s">
        <v>9</v>
      </c>
      <c r="P5" s="1198"/>
      <c r="Q5" s="1198" t="s">
        <v>10</v>
      </c>
      <c r="R5" s="1198"/>
      <c r="S5" s="1198" t="s">
        <v>11</v>
      </c>
      <c r="T5" s="1198"/>
    </row>
    <row r="6" spans="1:20" ht="21" x14ac:dyDescent="0.25">
      <c r="A6" s="1200"/>
      <c r="B6" s="1200"/>
      <c r="C6" s="1201"/>
      <c r="D6" s="1202"/>
      <c r="E6" s="1" t="s">
        <v>12</v>
      </c>
      <c r="F6" s="1" t="s">
        <v>13</v>
      </c>
      <c r="G6" s="1" t="s">
        <v>14</v>
      </c>
      <c r="H6" s="1" t="s">
        <v>15</v>
      </c>
      <c r="I6" s="1" t="s">
        <v>14</v>
      </c>
      <c r="J6" s="1" t="s">
        <v>13</v>
      </c>
      <c r="K6" s="1" t="s">
        <v>14</v>
      </c>
      <c r="L6" s="1" t="s">
        <v>15</v>
      </c>
      <c r="M6" s="1" t="s">
        <v>14</v>
      </c>
      <c r="N6" s="1" t="s">
        <v>15</v>
      </c>
      <c r="O6" s="1" t="s">
        <v>14</v>
      </c>
      <c r="P6" s="1" t="s">
        <v>15</v>
      </c>
      <c r="Q6" s="1" t="s">
        <v>14</v>
      </c>
      <c r="R6" s="1" t="s">
        <v>15</v>
      </c>
      <c r="S6" s="1" t="s">
        <v>14</v>
      </c>
      <c r="T6" s="1" t="s">
        <v>15</v>
      </c>
    </row>
    <row r="7" spans="1:20" x14ac:dyDescent="0.25">
      <c r="A7" s="914">
        <v>1</v>
      </c>
      <c r="B7" s="914">
        <v>2</v>
      </c>
      <c r="C7" s="915">
        <v>3</v>
      </c>
      <c r="D7" s="913">
        <v>4</v>
      </c>
      <c r="E7" s="916">
        <v>5</v>
      </c>
      <c r="F7" s="913">
        <v>6</v>
      </c>
      <c r="G7" s="916">
        <v>7</v>
      </c>
      <c r="H7" s="913">
        <v>8</v>
      </c>
      <c r="I7" s="916">
        <v>9</v>
      </c>
      <c r="J7" s="913">
        <v>10</v>
      </c>
      <c r="K7" s="916">
        <v>11</v>
      </c>
      <c r="L7" s="913">
        <v>12</v>
      </c>
      <c r="M7" s="916">
        <v>13</v>
      </c>
      <c r="N7" s="913">
        <v>14</v>
      </c>
      <c r="O7" s="916">
        <v>15</v>
      </c>
      <c r="P7" s="913">
        <v>16</v>
      </c>
      <c r="Q7" s="916">
        <v>17</v>
      </c>
      <c r="R7" s="913">
        <v>18</v>
      </c>
      <c r="S7" s="916">
        <v>19</v>
      </c>
      <c r="T7" s="913">
        <v>20</v>
      </c>
    </row>
    <row r="8" spans="1:20" s="863" customFormat="1" x14ac:dyDescent="0.25">
      <c r="A8" s="2">
        <v>1</v>
      </c>
      <c r="B8" s="3" t="s">
        <v>16</v>
      </c>
      <c r="C8" s="4" t="s">
        <v>17</v>
      </c>
      <c r="D8" s="765">
        <f>SUM(E8:T8)</f>
        <v>3829</v>
      </c>
      <c r="E8" s="765">
        <f>E9+E10</f>
        <v>50</v>
      </c>
      <c r="F8" s="765">
        <f t="shared" ref="F8:T8" si="0">F9+F10</f>
        <v>61</v>
      </c>
      <c r="G8" s="765">
        <f t="shared" si="0"/>
        <v>550</v>
      </c>
      <c r="H8" s="765">
        <f t="shared" si="0"/>
        <v>254</v>
      </c>
      <c r="I8" s="765">
        <f t="shared" si="0"/>
        <v>1351</v>
      </c>
      <c r="J8" s="765">
        <f t="shared" si="0"/>
        <v>640</v>
      </c>
      <c r="K8" s="765">
        <f t="shared" si="0"/>
        <v>426</v>
      </c>
      <c r="L8" s="765">
        <f t="shared" si="0"/>
        <v>418</v>
      </c>
      <c r="M8" s="765">
        <f t="shared" si="0"/>
        <v>0</v>
      </c>
      <c r="N8" s="765">
        <f t="shared" si="0"/>
        <v>0</v>
      </c>
      <c r="O8" s="765">
        <f t="shared" si="0"/>
        <v>0</v>
      </c>
      <c r="P8" s="765">
        <f t="shared" si="0"/>
        <v>0</v>
      </c>
      <c r="Q8" s="765">
        <f t="shared" si="0"/>
        <v>0</v>
      </c>
      <c r="R8" s="765">
        <f t="shared" si="0"/>
        <v>0</v>
      </c>
      <c r="S8" s="765">
        <f t="shared" si="0"/>
        <v>58</v>
      </c>
      <c r="T8" s="765">
        <f t="shared" si="0"/>
        <v>21</v>
      </c>
    </row>
    <row r="9" spans="1:20" x14ac:dyDescent="0.25">
      <c r="A9" s="915"/>
      <c r="B9" s="5"/>
      <c r="C9" s="6" t="s">
        <v>18</v>
      </c>
      <c r="D9" s="764">
        <f t="shared" ref="D9:D10" si="1">SUM(E9:T9)</f>
        <v>3529</v>
      </c>
      <c r="E9" s="764">
        <v>50</v>
      </c>
      <c r="F9" s="764">
        <f>40+21</f>
        <v>61</v>
      </c>
      <c r="G9" s="764">
        <f>350+200</f>
        <v>550</v>
      </c>
      <c r="H9" s="764">
        <f>53+201</f>
        <v>254</v>
      </c>
      <c r="I9" s="764">
        <f>745+356</f>
        <v>1101</v>
      </c>
      <c r="J9" s="764">
        <f>200+390</f>
        <v>590</v>
      </c>
      <c r="K9" s="764">
        <f>1327-901</f>
        <v>426</v>
      </c>
      <c r="L9" s="764">
        <f>738-320</f>
        <v>418</v>
      </c>
      <c r="M9" s="764">
        <v>0</v>
      </c>
      <c r="N9" s="764">
        <v>0</v>
      </c>
      <c r="O9" s="764">
        <v>0</v>
      </c>
      <c r="P9" s="764">
        <v>0</v>
      </c>
      <c r="Q9" s="764">
        <v>0</v>
      </c>
      <c r="R9" s="764">
        <v>0</v>
      </c>
      <c r="S9" s="764">
        <f>20+38</f>
        <v>58</v>
      </c>
      <c r="T9" s="764">
        <f>6+15</f>
        <v>21</v>
      </c>
    </row>
    <row r="10" spans="1:20" x14ac:dyDescent="0.25">
      <c r="A10" s="915"/>
      <c r="B10" s="5"/>
      <c r="C10" s="6" t="s">
        <v>19</v>
      </c>
      <c r="D10" s="764">
        <f t="shared" si="1"/>
        <v>300</v>
      </c>
      <c r="E10" s="764">
        <v>0</v>
      </c>
      <c r="F10" s="764">
        <v>0</v>
      </c>
      <c r="G10" s="764">
        <v>0</v>
      </c>
      <c r="H10" s="764">
        <v>0</v>
      </c>
      <c r="I10" s="764">
        <v>250</v>
      </c>
      <c r="J10" s="764">
        <v>50</v>
      </c>
      <c r="K10" s="764">
        <v>0</v>
      </c>
      <c r="L10" s="764">
        <v>0</v>
      </c>
      <c r="M10" s="764">
        <v>0</v>
      </c>
      <c r="N10" s="764">
        <v>0</v>
      </c>
      <c r="O10" s="764">
        <v>0</v>
      </c>
      <c r="P10" s="764">
        <v>0</v>
      </c>
      <c r="Q10" s="764">
        <v>0</v>
      </c>
      <c r="R10" s="764">
        <v>0</v>
      </c>
      <c r="S10" s="764">
        <v>0</v>
      </c>
      <c r="T10" s="764">
        <v>0</v>
      </c>
    </row>
    <row r="11" spans="1:20" s="863" customFormat="1" x14ac:dyDescent="0.25">
      <c r="A11" s="2">
        <v>2</v>
      </c>
      <c r="B11" s="3" t="s">
        <v>20</v>
      </c>
      <c r="C11" s="4" t="s">
        <v>21</v>
      </c>
      <c r="D11" s="765">
        <f>SUM(E11:T11)</f>
        <v>440</v>
      </c>
      <c r="E11" s="765">
        <f>E12+E13</f>
        <v>66</v>
      </c>
      <c r="F11" s="765">
        <f t="shared" ref="F11:T11" si="2">F12+F13</f>
        <v>3</v>
      </c>
      <c r="G11" s="765">
        <f t="shared" si="2"/>
        <v>31</v>
      </c>
      <c r="H11" s="765">
        <f t="shared" si="2"/>
        <v>20</v>
      </c>
      <c r="I11" s="765">
        <f t="shared" si="2"/>
        <v>30</v>
      </c>
      <c r="J11" s="765">
        <f t="shared" si="2"/>
        <v>20</v>
      </c>
      <c r="K11" s="765">
        <f t="shared" si="2"/>
        <v>187</v>
      </c>
      <c r="L11" s="765">
        <f t="shared" si="2"/>
        <v>73</v>
      </c>
      <c r="M11" s="765">
        <f t="shared" si="2"/>
        <v>10</v>
      </c>
      <c r="N11" s="765">
        <f t="shared" si="2"/>
        <v>0</v>
      </c>
      <c r="O11" s="765">
        <f t="shared" si="2"/>
        <v>0</v>
      </c>
      <c r="P11" s="765">
        <f t="shared" si="2"/>
        <v>0</v>
      </c>
      <c r="Q11" s="765">
        <f t="shared" si="2"/>
        <v>0</v>
      </c>
      <c r="R11" s="765">
        <f t="shared" si="2"/>
        <v>0</v>
      </c>
      <c r="S11" s="765">
        <f t="shared" si="2"/>
        <v>0</v>
      </c>
      <c r="T11" s="765">
        <f t="shared" si="2"/>
        <v>0</v>
      </c>
    </row>
    <row r="12" spans="1:20" s="863" customFormat="1" x14ac:dyDescent="0.25">
      <c r="A12" s="2"/>
      <c r="B12" s="3"/>
      <c r="C12" s="6" t="s">
        <v>18</v>
      </c>
      <c r="D12" s="764">
        <f t="shared" ref="D12:D17" si="3">SUM(E12:T12)</f>
        <v>200</v>
      </c>
      <c r="E12" s="764">
        <v>6</v>
      </c>
      <c r="F12" s="764">
        <v>3</v>
      </c>
      <c r="G12" s="764">
        <v>21</v>
      </c>
      <c r="H12" s="764">
        <v>20</v>
      </c>
      <c r="I12" s="764">
        <v>20</v>
      </c>
      <c r="J12" s="764">
        <v>20</v>
      </c>
      <c r="K12" s="764">
        <v>65</v>
      </c>
      <c r="L12" s="764">
        <v>45</v>
      </c>
      <c r="M12" s="764">
        <v>0</v>
      </c>
      <c r="N12" s="764">
        <v>0</v>
      </c>
      <c r="O12" s="764">
        <v>0</v>
      </c>
      <c r="P12" s="764">
        <v>0</v>
      </c>
      <c r="Q12" s="764">
        <v>0</v>
      </c>
      <c r="R12" s="764">
        <v>0</v>
      </c>
      <c r="S12" s="764">
        <v>0</v>
      </c>
      <c r="T12" s="764">
        <v>0</v>
      </c>
    </row>
    <row r="13" spans="1:20" x14ac:dyDescent="0.25">
      <c r="A13" s="915"/>
      <c r="B13" s="5"/>
      <c r="C13" s="6" t="s">
        <v>19</v>
      </c>
      <c r="D13" s="764">
        <f t="shared" si="3"/>
        <v>240</v>
      </c>
      <c r="E13" s="764">
        <v>60</v>
      </c>
      <c r="F13" s="764">
        <v>0</v>
      </c>
      <c r="G13" s="764">
        <v>10</v>
      </c>
      <c r="H13" s="764">
        <v>0</v>
      </c>
      <c r="I13" s="764">
        <v>10</v>
      </c>
      <c r="J13" s="764">
        <v>0</v>
      </c>
      <c r="K13" s="764">
        <v>122</v>
      </c>
      <c r="L13" s="764">
        <v>28</v>
      </c>
      <c r="M13" s="764">
        <v>10</v>
      </c>
      <c r="N13" s="764">
        <v>0</v>
      </c>
      <c r="O13" s="764">
        <v>0</v>
      </c>
      <c r="P13" s="764">
        <v>0</v>
      </c>
      <c r="Q13" s="764">
        <v>0</v>
      </c>
      <c r="R13" s="764">
        <v>0</v>
      </c>
      <c r="S13" s="764">
        <v>0</v>
      </c>
      <c r="T13" s="764">
        <v>0</v>
      </c>
    </row>
    <row r="14" spans="1:20" x14ac:dyDescent="0.25">
      <c r="A14" s="915">
        <v>3</v>
      </c>
      <c r="B14" s="5" t="s">
        <v>22</v>
      </c>
      <c r="C14" s="7" t="s">
        <v>23</v>
      </c>
      <c r="D14" s="764">
        <f t="shared" si="3"/>
        <v>340</v>
      </c>
      <c r="E14" s="764">
        <v>82</v>
      </c>
      <c r="F14" s="764">
        <v>0</v>
      </c>
      <c r="G14" s="764">
        <v>3</v>
      </c>
      <c r="H14" s="764">
        <v>0</v>
      </c>
      <c r="I14" s="764">
        <v>30</v>
      </c>
      <c r="J14" s="764">
        <v>0</v>
      </c>
      <c r="K14" s="764">
        <v>173</v>
      </c>
      <c r="L14" s="764">
        <v>42</v>
      </c>
      <c r="M14" s="764">
        <v>10</v>
      </c>
      <c r="N14" s="764">
        <v>0</v>
      </c>
      <c r="O14" s="764">
        <v>0</v>
      </c>
      <c r="P14" s="764">
        <v>0</v>
      </c>
      <c r="Q14" s="764">
        <v>0</v>
      </c>
      <c r="R14" s="764">
        <v>0</v>
      </c>
      <c r="S14" s="764">
        <v>0</v>
      </c>
      <c r="T14" s="764">
        <v>0</v>
      </c>
    </row>
    <row r="15" spans="1:20" x14ac:dyDescent="0.25">
      <c r="A15" s="915">
        <v>4</v>
      </c>
      <c r="B15" s="5" t="s">
        <v>24</v>
      </c>
      <c r="C15" s="7" t="s">
        <v>25</v>
      </c>
      <c r="D15" s="764">
        <f t="shared" si="3"/>
        <v>350</v>
      </c>
      <c r="E15" s="764">
        <v>82</v>
      </c>
      <c r="F15" s="764">
        <v>0</v>
      </c>
      <c r="G15" s="764">
        <v>3</v>
      </c>
      <c r="H15" s="764">
        <v>0</v>
      </c>
      <c r="I15" s="764">
        <v>35</v>
      </c>
      <c r="J15" s="764">
        <v>0</v>
      </c>
      <c r="K15" s="764">
        <v>175</v>
      </c>
      <c r="L15" s="764">
        <v>35</v>
      </c>
      <c r="M15" s="764">
        <v>20</v>
      </c>
      <c r="N15" s="764">
        <v>0</v>
      </c>
      <c r="O15" s="764">
        <v>0</v>
      </c>
      <c r="P15" s="764">
        <v>0</v>
      </c>
      <c r="Q15" s="764">
        <v>0</v>
      </c>
      <c r="R15" s="764">
        <v>0</v>
      </c>
      <c r="S15" s="764">
        <v>0</v>
      </c>
      <c r="T15" s="764">
        <v>0</v>
      </c>
    </row>
    <row r="16" spans="1:20" x14ac:dyDescent="0.25">
      <c r="A16" s="915">
        <v>5</v>
      </c>
      <c r="B16" s="5" t="s">
        <v>26</v>
      </c>
      <c r="C16" s="7" t="s">
        <v>27</v>
      </c>
      <c r="D16" s="764">
        <f t="shared" si="3"/>
        <v>350</v>
      </c>
      <c r="E16" s="764">
        <v>100</v>
      </c>
      <c r="F16" s="764">
        <v>0</v>
      </c>
      <c r="G16" s="764">
        <v>3</v>
      </c>
      <c r="H16" s="764">
        <v>0</v>
      </c>
      <c r="I16" s="764">
        <v>44</v>
      </c>
      <c r="J16" s="764">
        <v>0</v>
      </c>
      <c r="K16" s="764">
        <f>160+30</f>
        <v>190</v>
      </c>
      <c r="L16" s="764">
        <f>30-30</f>
        <v>0</v>
      </c>
      <c r="M16" s="764">
        <v>13</v>
      </c>
      <c r="N16" s="764">
        <v>0</v>
      </c>
      <c r="O16" s="764">
        <v>0</v>
      </c>
      <c r="P16" s="764">
        <v>0</v>
      </c>
      <c r="Q16" s="764">
        <v>0</v>
      </c>
      <c r="R16" s="764">
        <v>0</v>
      </c>
      <c r="S16" s="764">
        <v>0</v>
      </c>
      <c r="T16" s="764">
        <v>0</v>
      </c>
    </row>
    <row r="17" spans="1:20" x14ac:dyDescent="0.25">
      <c r="A17" s="915">
        <v>6</v>
      </c>
      <c r="B17" s="5" t="s">
        <v>28</v>
      </c>
      <c r="C17" s="7" t="s">
        <v>29</v>
      </c>
      <c r="D17" s="764">
        <f t="shared" si="3"/>
        <v>451</v>
      </c>
      <c r="E17" s="764">
        <v>180</v>
      </c>
      <c r="F17" s="764">
        <v>12</v>
      </c>
      <c r="G17" s="764">
        <v>14</v>
      </c>
      <c r="H17" s="764">
        <v>0</v>
      </c>
      <c r="I17" s="764">
        <v>61</v>
      </c>
      <c r="J17" s="764">
        <v>0</v>
      </c>
      <c r="K17" s="764">
        <v>149</v>
      </c>
      <c r="L17" s="764">
        <v>20</v>
      </c>
      <c r="M17" s="764">
        <v>15</v>
      </c>
      <c r="N17" s="764">
        <v>0</v>
      </c>
      <c r="O17" s="764">
        <v>0</v>
      </c>
      <c r="P17" s="764">
        <v>0</v>
      </c>
      <c r="Q17" s="764">
        <v>0</v>
      </c>
      <c r="R17" s="764">
        <v>0</v>
      </c>
      <c r="S17" s="764">
        <v>0</v>
      </c>
      <c r="T17" s="764">
        <v>0</v>
      </c>
    </row>
    <row r="18" spans="1:20" s="863" customFormat="1" x14ac:dyDescent="0.25">
      <c r="A18" s="2">
        <v>7</v>
      </c>
      <c r="B18" s="3" t="s">
        <v>30</v>
      </c>
      <c r="C18" s="4" t="s">
        <v>31</v>
      </c>
      <c r="D18" s="765">
        <f>SUM(E18:T18)</f>
        <v>285</v>
      </c>
      <c r="E18" s="765">
        <f>E19+E20</f>
        <v>24</v>
      </c>
      <c r="F18" s="765">
        <f t="shared" ref="F18:T18" si="4">F19+F20</f>
        <v>9</v>
      </c>
      <c r="G18" s="765">
        <f t="shared" si="4"/>
        <v>13</v>
      </c>
      <c r="H18" s="765">
        <f t="shared" si="4"/>
        <v>6</v>
      </c>
      <c r="I18" s="765">
        <f t="shared" si="4"/>
        <v>25</v>
      </c>
      <c r="J18" s="765">
        <f t="shared" si="4"/>
        <v>5</v>
      </c>
      <c r="K18" s="765">
        <f t="shared" si="4"/>
        <v>133</v>
      </c>
      <c r="L18" s="765">
        <f t="shared" si="4"/>
        <v>47</v>
      </c>
      <c r="M18" s="765">
        <f t="shared" si="4"/>
        <v>19</v>
      </c>
      <c r="N18" s="765">
        <f t="shared" si="4"/>
        <v>4</v>
      </c>
      <c r="O18" s="765">
        <f t="shared" si="4"/>
        <v>0</v>
      </c>
      <c r="P18" s="765">
        <f t="shared" si="4"/>
        <v>0</v>
      </c>
      <c r="Q18" s="765">
        <f t="shared" si="4"/>
        <v>0</v>
      </c>
      <c r="R18" s="765">
        <f t="shared" si="4"/>
        <v>0</v>
      </c>
      <c r="S18" s="765">
        <f t="shared" si="4"/>
        <v>0</v>
      </c>
      <c r="T18" s="765">
        <f t="shared" si="4"/>
        <v>0</v>
      </c>
    </row>
    <row r="19" spans="1:20" s="863" customFormat="1" x14ac:dyDescent="0.25">
      <c r="A19" s="2"/>
      <c r="B19" s="3"/>
      <c r="C19" s="6" t="s">
        <v>18</v>
      </c>
      <c r="D19" s="764">
        <f t="shared" ref="D19:D20" si="5">SUM(E19:T19)</f>
        <v>100</v>
      </c>
      <c r="E19" s="764">
        <v>4</v>
      </c>
      <c r="F19" s="764">
        <v>2</v>
      </c>
      <c r="G19" s="764">
        <v>10</v>
      </c>
      <c r="H19" s="764">
        <v>6</v>
      </c>
      <c r="I19" s="764">
        <v>10</v>
      </c>
      <c r="J19" s="764">
        <v>5</v>
      </c>
      <c r="K19" s="764">
        <v>33</v>
      </c>
      <c r="L19" s="764">
        <v>20</v>
      </c>
      <c r="M19" s="764">
        <v>6</v>
      </c>
      <c r="N19" s="764">
        <v>4</v>
      </c>
      <c r="O19" s="764">
        <v>0</v>
      </c>
      <c r="P19" s="764">
        <v>0</v>
      </c>
      <c r="Q19" s="764">
        <v>0</v>
      </c>
      <c r="R19" s="764">
        <v>0</v>
      </c>
      <c r="S19" s="764">
        <v>0</v>
      </c>
      <c r="T19" s="764">
        <v>0</v>
      </c>
    </row>
    <row r="20" spans="1:20" s="863" customFormat="1" x14ac:dyDescent="0.25">
      <c r="A20" s="2"/>
      <c r="B20" s="3"/>
      <c r="C20" s="6" t="s">
        <v>19</v>
      </c>
      <c r="D20" s="764">
        <f t="shared" si="5"/>
        <v>185</v>
      </c>
      <c r="E20" s="764">
        <v>20</v>
      </c>
      <c r="F20" s="764">
        <v>7</v>
      </c>
      <c r="G20" s="764">
        <v>3</v>
      </c>
      <c r="H20" s="764">
        <v>0</v>
      </c>
      <c r="I20" s="764">
        <v>15</v>
      </c>
      <c r="J20" s="764">
        <v>0</v>
      </c>
      <c r="K20" s="764">
        <v>100</v>
      </c>
      <c r="L20" s="764">
        <v>27</v>
      </c>
      <c r="M20" s="764">
        <v>13</v>
      </c>
      <c r="N20" s="764">
        <v>0</v>
      </c>
      <c r="O20" s="764">
        <v>0</v>
      </c>
      <c r="P20" s="764">
        <v>0</v>
      </c>
      <c r="Q20" s="764">
        <v>0</v>
      </c>
      <c r="R20" s="764">
        <v>0</v>
      </c>
      <c r="S20" s="764">
        <v>0</v>
      </c>
      <c r="T20" s="764">
        <v>0</v>
      </c>
    </row>
    <row r="21" spans="1:20" s="863" customFormat="1" x14ac:dyDescent="0.25">
      <c r="A21" s="2">
        <v>8</v>
      </c>
      <c r="B21" s="3" t="s">
        <v>32</v>
      </c>
      <c r="C21" s="4" t="s">
        <v>33</v>
      </c>
      <c r="D21" s="765">
        <f>SUM(E21:T21)</f>
        <v>240</v>
      </c>
      <c r="E21" s="765">
        <f>E22+E23</f>
        <v>49</v>
      </c>
      <c r="F21" s="765">
        <f t="shared" ref="F21:T21" si="6">F22+F23</f>
        <v>0</v>
      </c>
      <c r="G21" s="765">
        <f t="shared" si="6"/>
        <v>0</v>
      </c>
      <c r="H21" s="765">
        <f t="shared" si="6"/>
        <v>0</v>
      </c>
      <c r="I21" s="765">
        <f t="shared" si="6"/>
        <v>65</v>
      </c>
      <c r="J21" s="765">
        <f t="shared" si="6"/>
        <v>4</v>
      </c>
      <c r="K21" s="765">
        <f t="shared" si="6"/>
        <v>112</v>
      </c>
      <c r="L21" s="765">
        <f t="shared" si="6"/>
        <v>10</v>
      </c>
      <c r="M21" s="765">
        <f t="shared" si="6"/>
        <v>0</v>
      </c>
      <c r="N21" s="765">
        <f t="shared" si="6"/>
        <v>0</v>
      </c>
      <c r="O21" s="765">
        <f t="shared" si="6"/>
        <v>0</v>
      </c>
      <c r="P21" s="765">
        <f t="shared" si="6"/>
        <v>0</v>
      </c>
      <c r="Q21" s="765">
        <f t="shared" si="6"/>
        <v>0</v>
      </c>
      <c r="R21" s="765">
        <f t="shared" si="6"/>
        <v>0</v>
      </c>
      <c r="S21" s="765">
        <f t="shared" si="6"/>
        <v>0</v>
      </c>
      <c r="T21" s="765">
        <f t="shared" si="6"/>
        <v>0</v>
      </c>
    </row>
    <row r="22" spans="1:20" x14ac:dyDescent="0.25">
      <c r="A22" s="915"/>
      <c r="B22" s="5"/>
      <c r="C22" s="6" t="s">
        <v>18</v>
      </c>
      <c r="D22" s="764">
        <f t="shared" ref="D22:D51" si="7">SUM(E22:T22)</f>
        <v>140</v>
      </c>
      <c r="E22" s="764">
        <f>4+7</f>
        <v>11</v>
      </c>
      <c r="F22" s="764">
        <f>2-2</f>
        <v>0</v>
      </c>
      <c r="G22" s="764">
        <f>15-15</f>
        <v>0</v>
      </c>
      <c r="H22" s="764">
        <f>5-5</f>
        <v>0</v>
      </c>
      <c r="I22" s="764">
        <f>15+22</f>
        <v>37</v>
      </c>
      <c r="J22" s="764">
        <f>5-5</f>
        <v>0</v>
      </c>
      <c r="K22" s="764">
        <f>56+36</f>
        <v>92</v>
      </c>
      <c r="L22" s="764">
        <f>30-30</f>
        <v>0</v>
      </c>
      <c r="M22" s="764">
        <f>6-6</f>
        <v>0</v>
      </c>
      <c r="N22" s="764">
        <f>2-2</f>
        <v>0</v>
      </c>
      <c r="O22" s="764">
        <v>0</v>
      </c>
      <c r="P22" s="764">
        <v>0</v>
      </c>
      <c r="Q22" s="764">
        <v>0</v>
      </c>
      <c r="R22" s="764">
        <v>0</v>
      </c>
      <c r="S22" s="764">
        <v>0</v>
      </c>
      <c r="T22" s="764">
        <v>0</v>
      </c>
    </row>
    <row r="23" spans="1:20" x14ac:dyDescent="0.25">
      <c r="A23" s="915"/>
      <c r="B23" s="5"/>
      <c r="C23" s="6" t="s">
        <v>19</v>
      </c>
      <c r="D23" s="764">
        <f t="shared" si="7"/>
        <v>100</v>
      </c>
      <c r="E23" s="764">
        <f>25+13</f>
        <v>38</v>
      </c>
      <c r="F23" s="764">
        <v>0</v>
      </c>
      <c r="G23" s="764">
        <v>0</v>
      </c>
      <c r="H23" s="764">
        <v>0</v>
      </c>
      <c r="I23" s="764">
        <v>28</v>
      </c>
      <c r="J23" s="764">
        <v>4</v>
      </c>
      <c r="K23" s="764">
        <v>20</v>
      </c>
      <c r="L23" s="764">
        <v>10</v>
      </c>
      <c r="M23" s="764">
        <f>10-10</f>
        <v>0</v>
      </c>
      <c r="N23" s="764">
        <f>3-3</f>
        <v>0</v>
      </c>
      <c r="O23" s="764">
        <v>0</v>
      </c>
      <c r="P23" s="764">
        <v>0</v>
      </c>
      <c r="Q23" s="764">
        <v>0</v>
      </c>
      <c r="R23" s="764">
        <v>0</v>
      </c>
      <c r="S23" s="764">
        <v>0</v>
      </c>
      <c r="T23" s="764">
        <v>0</v>
      </c>
    </row>
    <row r="24" spans="1:20" x14ac:dyDescent="0.25">
      <c r="A24" s="915">
        <v>9</v>
      </c>
      <c r="B24" s="5" t="s">
        <v>34</v>
      </c>
      <c r="C24" s="7" t="s">
        <v>35</v>
      </c>
      <c r="D24" s="764">
        <f t="shared" si="7"/>
        <v>500</v>
      </c>
      <c r="E24" s="764">
        <v>180</v>
      </c>
      <c r="F24" s="764">
        <v>40</v>
      </c>
      <c r="G24" s="764">
        <v>2</v>
      </c>
      <c r="H24" s="764">
        <v>8</v>
      </c>
      <c r="I24" s="764">
        <v>30</v>
      </c>
      <c r="J24" s="764">
        <v>4</v>
      </c>
      <c r="K24" s="764">
        <v>160</v>
      </c>
      <c r="L24" s="764">
        <v>31</v>
      </c>
      <c r="M24" s="764">
        <v>15</v>
      </c>
      <c r="N24" s="764">
        <v>0</v>
      </c>
      <c r="O24" s="764">
        <v>0</v>
      </c>
      <c r="P24" s="764">
        <v>0</v>
      </c>
      <c r="Q24" s="764">
        <f>20+10</f>
        <v>30</v>
      </c>
      <c r="R24" s="764">
        <f>10-10</f>
        <v>0</v>
      </c>
      <c r="S24" s="764">
        <v>0</v>
      </c>
      <c r="T24" s="764">
        <v>0</v>
      </c>
    </row>
    <row r="25" spans="1:20" x14ac:dyDescent="0.25">
      <c r="A25" s="915">
        <v>10</v>
      </c>
      <c r="B25" s="5" t="s">
        <v>36</v>
      </c>
      <c r="C25" s="7" t="s">
        <v>37</v>
      </c>
      <c r="D25" s="764">
        <f t="shared" si="7"/>
        <v>214</v>
      </c>
      <c r="E25" s="764">
        <v>50</v>
      </c>
      <c r="F25" s="764">
        <v>10</v>
      </c>
      <c r="G25" s="764">
        <v>5</v>
      </c>
      <c r="H25" s="764">
        <v>0</v>
      </c>
      <c r="I25" s="764">
        <v>22</v>
      </c>
      <c r="J25" s="764">
        <v>0</v>
      </c>
      <c r="K25" s="764">
        <v>92</v>
      </c>
      <c r="L25" s="764">
        <v>20</v>
      </c>
      <c r="M25" s="764">
        <v>10</v>
      </c>
      <c r="N25" s="764">
        <v>5</v>
      </c>
      <c r="O25" s="764">
        <v>0</v>
      </c>
      <c r="P25" s="764">
        <v>0</v>
      </c>
      <c r="Q25" s="764">
        <v>0</v>
      </c>
      <c r="R25" s="764">
        <v>0</v>
      </c>
      <c r="S25" s="764">
        <v>0</v>
      </c>
      <c r="T25" s="764">
        <v>0</v>
      </c>
    </row>
    <row r="26" spans="1:20" x14ac:dyDescent="0.25">
      <c r="A26" s="915">
        <v>11</v>
      </c>
      <c r="B26" s="5" t="s">
        <v>38</v>
      </c>
      <c r="C26" s="7" t="s">
        <v>39</v>
      </c>
      <c r="D26" s="764">
        <f t="shared" si="7"/>
        <v>35</v>
      </c>
      <c r="E26" s="864">
        <v>0</v>
      </c>
      <c r="F26" s="864">
        <v>0</v>
      </c>
      <c r="G26" s="864">
        <v>3</v>
      </c>
      <c r="H26" s="864">
        <v>1</v>
      </c>
      <c r="I26" s="864">
        <v>6</v>
      </c>
      <c r="J26" s="864">
        <v>0</v>
      </c>
      <c r="K26" s="864">
        <v>13</v>
      </c>
      <c r="L26" s="864">
        <v>6</v>
      </c>
      <c r="M26" s="864">
        <v>4</v>
      </c>
      <c r="N26" s="864">
        <v>2</v>
      </c>
      <c r="O26" s="864">
        <v>0</v>
      </c>
      <c r="P26" s="864">
        <v>0</v>
      </c>
      <c r="Q26" s="864">
        <v>0</v>
      </c>
      <c r="R26" s="864">
        <v>0</v>
      </c>
      <c r="S26" s="864">
        <v>0</v>
      </c>
      <c r="T26" s="864">
        <v>0</v>
      </c>
    </row>
    <row r="27" spans="1:20" x14ac:dyDescent="0.25">
      <c r="A27" s="915">
        <v>12</v>
      </c>
      <c r="B27" s="5" t="s">
        <v>40</v>
      </c>
      <c r="C27" s="7" t="s">
        <v>41</v>
      </c>
      <c r="D27" s="764">
        <f t="shared" si="7"/>
        <v>50</v>
      </c>
      <c r="E27" s="764">
        <v>2</v>
      </c>
      <c r="F27" s="764">
        <v>1</v>
      </c>
      <c r="G27" s="764">
        <v>7</v>
      </c>
      <c r="H27" s="764">
        <v>3</v>
      </c>
      <c r="I27" s="764">
        <v>20</v>
      </c>
      <c r="J27" s="764">
        <v>17</v>
      </c>
      <c r="K27" s="764">
        <v>0</v>
      </c>
      <c r="L27" s="764">
        <v>0</v>
      </c>
      <c r="M27" s="764">
        <v>0</v>
      </c>
      <c r="N27" s="764">
        <v>0</v>
      </c>
      <c r="O27" s="764">
        <v>0</v>
      </c>
      <c r="P27" s="764">
        <v>0</v>
      </c>
      <c r="Q27" s="764">
        <v>0</v>
      </c>
      <c r="R27" s="764">
        <v>0</v>
      </c>
      <c r="S27" s="764">
        <v>0</v>
      </c>
      <c r="T27" s="764">
        <v>0</v>
      </c>
    </row>
    <row r="28" spans="1:20" x14ac:dyDescent="0.25">
      <c r="A28" s="915">
        <v>13</v>
      </c>
      <c r="B28" s="5" t="s">
        <v>42</v>
      </c>
      <c r="C28" s="7" t="s">
        <v>43</v>
      </c>
      <c r="D28" s="764">
        <f t="shared" si="7"/>
        <v>108</v>
      </c>
      <c r="E28" s="764">
        <v>4</v>
      </c>
      <c r="F28" s="764">
        <v>0</v>
      </c>
      <c r="G28" s="764">
        <v>0</v>
      </c>
      <c r="H28" s="764">
        <v>0</v>
      </c>
      <c r="I28" s="764">
        <v>22</v>
      </c>
      <c r="J28" s="764">
        <v>0</v>
      </c>
      <c r="K28" s="764">
        <v>42</v>
      </c>
      <c r="L28" s="764">
        <v>22</v>
      </c>
      <c r="M28" s="764">
        <v>18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</row>
    <row r="29" spans="1:20" x14ac:dyDescent="0.25">
      <c r="A29" s="915">
        <v>14</v>
      </c>
      <c r="B29" s="5" t="s">
        <v>44</v>
      </c>
      <c r="C29" s="7" t="s">
        <v>45</v>
      </c>
      <c r="D29" s="764">
        <f t="shared" si="7"/>
        <v>70</v>
      </c>
      <c r="E29" s="764">
        <v>4</v>
      </c>
      <c r="F29" s="764">
        <v>0</v>
      </c>
      <c r="G29" s="764">
        <v>20</v>
      </c>
      <c r="H29" s="764">
        <v>0</v>
      </c>
      <c r="I29" s="764">
        <v>0</v>
      </c>
      <c r="J29" s="764">
        <v>0</v>
      </c>
      <c r="K29" s="764">
        <v>40</v>
      </c>
      <c r="L29" s="764">
        <v>0</v>
      </c>
      <c r="M29" s="764">
        <v>6</v>
      </c>
      <c r="N29" s="764">
        <v>0</v>
      </c>
      <c r="O29" s="764">
        <v>0</v>
      </c>
      <c r="P29" s="764">
        <v>0</v>
      </c>
      <c r="Q29" s="764">
        <v>0</v>
      </c>
      <c r="R29" s="764">
        <v>0</v>
      </c>
      <c r="S29" s="764">
        <v>0</v>
      </c>
      <c r="T29" s="764">
        <v>0</v>
      </c>
    </row>
    <row r="30" spans="1:20" x14ac:dyDescent="0.25">
      <c r="A30" s="915">
        <v>15</v>
      </c>
      <c r="B30" s="5" t="s">
        <v>46</v>
      </c>
      <c r="C30" s="7" t="s">
        <v>47</v>
      </c>
      <c r="D30" s="764">
        <f t="shared" si="7"/>
        <v>250</v>
      </c>
      <c r="E30" s="764">
        <v>10</v>
      </c>
      <c r="F30" s="764">
        <v>5</v>
      </c>
      <c r="G30" s="764">
        <v>25</v>
      </c>
      <c r="H30" s="764">
        <v>5</v>
      </c>
      <c r="I30" s="764">
        <v>31</v>
      </c>
      <c r="J30" s="764">
        <v>10</v>
      </c>
      <c r="K30" s="764">
        <v>100</v>
      </c>
      <c r="L30" s="764">
        <v>34</v>
      </c>
      <c r="M30" s="764">
        <v>20</v>
      </c>
      <c r="N30" s="764">
        <v>10</v>
      </c>
      <c r="O30" s="764">
        <v>0</v>
      </c>
      <c r="P30" s="764">
        <v>0</v>
      </c>
      <c r="Q30" s="764">
        <v>0</v>
      </c>
      <c r="R30" s="764">
        <v>0</v>
      </c>
      <c r="S30" s="764">
        <v>0</v>
      </c>
      <c r="T30" s="764">
        <v>0</v>
      </c>
    </row>
    <row r="31" spans="1:20" s="931" customFormat="1" x14ac:dyDescent="0.25">
      <c r="A31" s="927">
        <v>16</v>
      </c>
      <c r="B31" s="928" t="s">
        <v>48</v>
      </c>
      <c r="C31" s="929" t="s">
        <v>49</v>
      </c>
      <c r="D31" s="926">
        <f t="shared" si="7"/>
        <v>100</v>
      </c>
      <c r="E31" s="926">
        <v>4</v>
      </c>
      <c r="F31" s="926">
        <v>2</v>
      </c>
      <c r="G31" s="930">
        <v>10</v>
      </c>
      <c r="H31" s="926">
        <v>5</v>
      </c>
      <c r="I31" s="926">
        <v>10</v>
      </c>
      <c r="J31" s="926">
        <v>5</v>
      </c>
      <c r="K31" s="926">
        <v>41</v>
      </c>
      <c r="L31" s="926">
        <v>20</v>
      </c>
      <c r="M31" s="926">
        <v>3</v>
      </c>
      <c r="N31" s="926">
        <v>0</v>
      </c>
      <c r="O31" s="926">
        <v>0</v>
      </c>
      <c r="P31" s="926">
        <v>0</v>
      </c>
      <c r="Q31" s="926">
        <v>0</v>
      </c>
      <c r="R31" s="926">
        <v>0</v>
      </c>
      <c r="S31" s="926">
        <v>0</v>
      </c>
      <c r="T31" s="926">
        <v>0</v>
      </c>
    </row>
    <row r="32" spans="1:20" x14ac:dyDescent="0.25">
      <c r="A32" s="915">
        <v>17</v>
      </c>
      <c r="B32" s="5" t="s">
        <v>50</v>
      </c>
      <c r="C32" s="7" t="s">
        <v>51</v>
      </c>
      <c r="D32" s="764">
        <f t="shared" si="7"/>
        <v>100</v>
      </c>
      <c r="E32" s="764">
        <v>4</v>
      </c>
      <c r="F32" s="764">
        <v>2</v>
      </c>
      <c r="G32" s="764">
        <v>10</v>
      </c>
      <c r="H32" s="764">
        <v>6</v>
      </c>
      <c r="I32" s="764">
        <v>10</v>
      </c>
      <c r="J32" s="764">
        <v>5</v>
      </c>
      <c r="K32" s="764">
        <v>33</v>
      </c>
      <c r="L32" s="764">
        <v>20</v>
      </c>
      <c r="M32" s="764">
        <v>6</v>
      </c>
      <c r="N32" s="764">
        <v>4</v>
      </c>
      <c r="O32" s="764">
        <v>0</v>
      </c>
      <c r="P32" s="764">
        <v>0</v>
      </c>
      <c r="Q32" s="764">
        <v>0</v>
      </c>
      <c r="R32" s="764">
        <v>0</v>
      </c>
      <c r="S32" s="764">
        <v>0</v>
      </c>
      <c r="T32" s="764">
        <v>0</v>
      </c>
    </row>
    <row r="33" spans="1:20" x14ac:dyDescent="0.25">
      <c r="A33" s="915">
        <v>18</v>
      </c>
      <c r="B33" s="5" t="s">
        <v>52</v>
      </c>
      <c r="C33" s="7" t="s">
        <v>53</v>
      </c>
      <c r="D33" s="764">
        <f t="shared" si="7"/>
        <v>260</v>
      </c>
      <c r="E33" s="764">
        <v>0</v>
      </c>
      <c r="F33" s="764">
        <v>0</v>
      </c>
      <c r="G33" s="764">
        <v>0</v>
      </c>
      <c r="H33" s="764">
        <v>0</v>
      </c>
      <c r="I33" s="764">
        <v>85</v>
      </c>
      <c r="J33" s="764">
        <v>41</v>
      </c>
      <c r="K33" s="764">
        <v>100</v>
      </c>
      <c r="L33" s="764">
        <v>34</v>
      </c>
      <c r="M33" s="764">
        <v>0</v>
      </c>
      <c r="N33" s="764">
        <v>0</v>
      </c>
      <c r="O33" s="764">
        <v>0</v>
      </c>
      <c r="P33" s="764">
        <v>0</v>
      </c>
      <c r="Q33" s="764">
        <v>0</v>
      </c>
      <c r="R33" s="764">
        <v>0</v>
      </c>
      <c r="S33" s="764">
        <v>0</v>
      </c>
      <c r="T33" s="764">
        <v>0</v>
      </c>
    </row>
    <row r="34" spans="1:20" x14ac:dyDescent="0.25">
      <c r="A34" s="915">
        <v>19</v>
      </c>
      <c r="B34" s="5" t="s">
        <v>54</v>
      </c>
      <c r="C34" s="7" t="s">
        <v>55</v>
      </c>
      <c r="D34" s="764">
        <f t="shared" si="7"/>
        <v>207</v>
      </c>
      <c r="E34" s="764">
        <v>12</v>
      </c>
      <c r="F34" s="764">
        <v>0</v>
      </c>
      <c r="G34" s="764">
        <v>0</v>
      </c>
      <c r="H34" s="764">
        <v>0</v>
      </c>
      <c r="I34" s="764">
        <v>59</v>
      </c>
      <c r="J34" s="764">
        <v>0</v>
      </c>
      <c r="K34" s="764">
        <v>136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</row>
    <row r="35" spans="1:20" x14ac:dyDescent="0.25">
      <c r="A35" s="915">
        <v>20</v>
      </c>
      <c r="B35" s="5" t="s">
        <v>56</v>
      </c>
      <c r="C35" s="7" t="s">
        <v>57</v>
      </c>
      <c r="D35" s="764">
        <f t="shared" si="7"/>
        <v>74</v>
      </c>
      <c r="E35" s="764">
        <v>12</v>
      </c>
      <c r="F35" s="764">
        <v>3</v>
      </c>
      <c r="G35" s="764">
        <v>5</v>
      </c>
      <c r="H35" s="764">
        <v>7</v>
      </c>
      <c r="I35" s="764">
        <v>0</v>
      </c>
      <c r="J35" s="764">
        <v>15</v>
      </c>
      <c r="K35" s="764">
        <v>9</v>
      </c>
      <c r="L35" s="764">
        <v>7</v>
      </c>
      <c r="M35" s="764">
        <v>0</v>
      </c>
      <c r="N35" s="764">
        <v>0</v>
      </c>
      <c r="O35" s="764">
        <v>8</v>
      </c>
      <c r="P35" s="764">
        <v>8</v>
      </c>
      <c r="Q35" s="764">
        <v>0</v>
      </c>
      <c r="R35" s="764">
        <v>0</v>
      </c>
      <c r="S35" s="764">
        <v>0</v>
      </c>
      <c r="T35" s="764">
        <v>0</v>
      </c>
    </row>
    <row r="36" spans="1:20" x14ac:dyDescent="0.25">
      <c r="A36" s="915">
        <v>21</v>
      </c>
      <c r="B36" s="5" t="s">
        <v>58</v>
      </c>
      <c r="C36" s="7" t="s">
        <v>59</v>
      </c>
      <c r="D36" s="764">
        <f t="shared" si="7"/>
        <v>250</v>
      </c>
      <c r="E36" s="764">
        <v>0</v>
      </c>
      <c r="F36" s="764">
        <v>0</v>
      </c>
      <c r="G36" s="764">
        <v>0</v>
      </c>
      <c r="H36" s="764">
        <v>0</v>
      </c>
      <c r="I36" s="764">
        <v>40</v>
      </c>
      <c r="J36" s="764">
        <v>20</v>
      </c>
      <c r="K36" s="764">
        <v>115</v>
      </c>
      <c r="L36" s="764">
        <v>60</v>
      </c>
      <c r="M36" s="764">
        <v>10</v>
      </c>
      <c r="N36" s="764">
        <v>5</v>
      </c>
      <c r="O36" s="764">
        <v>0</v>
      </c>
      <c r="P36" s="764">
        <v>0</v>
      </c>
      <c r="Q36" s="764">
        <v>0</v>
      </c>
      <c r="R36" s="764">
        <v>0</v>
      </c>
      <c r="S36" s="764">
        <v>0</v>
      </c>
      <c r="T36" s="764">
        <v>0</v>
      </c>
    </row>
    <row r="37" spans="1:20" x14ac:dyDescent="0.25">
      <c r="A37" s="915">
        <v>22</v>
      </c>
      <c r="B37" s="5" t="s">
        <v>60</v>
      </c>
      <c r="C37" s="7" t="s">
        <v>61</v>
      </c>
      <c r="D37" s="764">
        <f t="shared" si="7"/>
        <v>200</v>
      </c>
      <c r="E37" s="764">
        <v>20</v>
      </c>
      <c r="F37" s="764">
        <v>20</v>
      </c>
      <c r="G37" s="764">
        <v>0</v>
      </c>
      <c r="H37" s="764">
        <v>0</v>
      </c>
      <c r="I37" s="764">
        <v>0</v>
      </c>
      <c r="J37" s="764">
        <v>0</v>
      </c>
      <c r="K37" s="764">
        <v>4</v>
      </c>
      <c r="L37" s="764">
        <v>4</v>
      </c>
      <c r="M37" s="764">
        <v>0</v>
      </c>
      <c r="N37" s="764">
        <v>0</v>
      </c>
      <c r="O37" s="764">
        <v>76</v>
      </c>
      <c r="P37" s="764">
        <v>76</v>
      </c>
      <c r="Q37" s="764">
        <v>0</v>
      </c>
      <c r="R37" s="764">
        <v>0</v>
      </c>
      <c r="S37" s="764">
        <v>0</v>
      </c>
      <c r="T37" s="764">
        <v>0</v>
      </c>
    </row>
    <row r="38" spans="1:20" x14ac:dyDescent="0.25">
      <c r="A38" s="915">
        <v>23</v>
      </c>
      <c r="B38" s="5" t="s">
        <v>62</v>
      </c>
      <c r="C38" s="7" t="s">
        <v>63</v>
      </c>
      <c r="D38" s="764">
        <f t="shared" si="7"/>
        <v>150</v>
      </c>
      <c r="E38" s="764">
        <f>6+2</f>
        <v>8</v>
      </c>
      <c r="F38" s="764">
        <f>3+1</f>
        <v>4</v>
      </c>
      <c r="G38" s="764">
        <f>15+15</f>
        <v>30</v>
      </c>
      <c r="H38" s="764">
        <f>6+2</f>
        <v>8</v>
      </c>
      <c r="I38" s="764">
        <f>14+21</f>
        <v>35</v>
      </c>
      <c r="J38" s="764">
        <f>7+8</f>
        <v>15</v>
      </c>
      <c r="K38" s="764">
        <f>55-30</f>
        <v>25</v>
      </c>
      <c r="L38" s="764">
        <f>29-24</f>
        <v>5</v>
      </c>
      <c r="M38" s="764">
        <f>10+5</f>
        <v>15</v>
      </c>
      <c r="N38" s="764">
        <v>5</v>
      </c>
      <c r="O38" s="764">
        <v>0</v>
      </c>
      <c r="P38" s="764">
        <v>0</v>
      </c>
      <c r="Q38" s="764">
        <v>0</v>
      </c>
      <c r="R38" s="764">
        <v>0</v>
      </c>
      <c r="S38" s="764">
        <v>0</v>
      </c>
      <c r="T38" s="764">
        <v>0</v>
      </c>
    </row>
    <row r="39" spans="1:20" x14ac:dyDescent="0.25">
      <c r="A39" s="915">
        <v>24</v>
      </c>
      <c r="B39" s="5" t="s">
        <v>64</v>
      </c>
      <c r="C39" s="7" t="s">
        <v>65</v>
      </c>
      <c r="D39" s="764">
        <f t="shared" si="7"/>
        <v>140</v>
      </c>
      <c r="E39" s="764">
        <v>0</v>
      </c>
      <c r="F39" s="764">
        <v>0</v>
      </c>
      <c r="G39" s="764">
        <v>20</v>
      </c>
      <c r="H39" s="764">
        <v>20</v>
      </c>
      <c r="I39" s="764">
        <v>20</v>
      </c>
      <c r="J39" s="764">
        <v>20</v>
      </c>
      <c r="K39" s="764">
        <v>40</v>
      </c>
      <c r="L39" s="764">
        <v>20</v>
      </c>
      <c r="M39" s="764">
        <v>0</v>
      </c>
      <c r="N39" s="764">
        <v>0</v>
      </c>
      <c r="O39" s="764">
        <v>0</v>
      </c>
      <c r="P39" s="764">
        <v>0</v>
      </c>
      <c r="Q39" s="764">
        <v>0</v>
      </c>
      <c r="R39" s="764">
        <v>0</v>
      </c>
      <c r="S39" s="764">
        <v>0</v>
      </c>
      <c r="T39" s="764">
        <v>0</v>
      </c>
    </row>
    <row r="40" spans="1:20" x14ac:dyDescent="0.25">
      <c r="A40" s="915">
        <v>25</v>
      </c>
      <c r="B40" s="5" t="s">
        <v>66</v>
      </c>
      <c r="C40" s="7" t="s">
        <v>67</v>
      </c>
      <c r="D40" s="764">
        <f t="shared" si="7"/>
        <v>250</v>
      </c>
      <c r="E40" s="764">
        <v>10</v>
      </c>
      <c r="F40" s="764">
        <v>5</v>
      </c>
      <c r="G40" s="764">
        <v>30</v>
      </c>
      <c r="H40" s="764">
        <v>10</v>
      </c>
      <c r="I40" s="764">
        <v>21</v>
      </c>
      <c r="J40" s="764">
        <v>10</v>
      </c>
      <c r="K40" s="764">
        <v>100</v>
      </c>
      <c r="L40" s="764">
        <v>49</v>
      </c>
      <c r="M40" s="764">
        <v>10</v>
      </c>
      <c r="N40" s="764">
        <v>5</v>
      </c>
      <c r="O40" s="764">
        <v>0</v>
      </c>
      <c r="P40" s="764">
        <v>0</v>
      </c>
      <c r="Q40" s="764">
        <v>0</v>
      </c>
      <c r="R40" s="764">
        <v>0</v>
      </c>
      <c r="S40" s="764">
        <v>0</v>
      </c>
      <c r="T40" s="764">
        <v>0</v>
      </c>
    </row>
    <row r="41" spans="1:20" x14ac:dyDescent="0.25">
      <c r="A41" s="915">
        <v>26</v>
      </c>
      <c r="B41" s="5" t="s">
        <v>68</v>
      </c>
      <c r="C41" s="7" t="s">
        <v>69</v>
      </c>
      <c r="D41" s="764">
        <f t="shared" si="7"/>
        <v>960</v>
      </c>
      <c r="E41" s="764">
        <v>56</v>
      </c>
      <c r="F41" s="764">
        <v>69</v>
      </c>
      <c r="G41" s="764">
        <v>64</v>
      </c>
      <c r="H41" s="764">
        <v>75</v>
      </c>
      <c r="I41" s="764">
        <v>322</v>
      </c>
      <c r="J41" s="764">
        <v>374</v>
      </c>
      <c r="K41" s="764">
        <v>0</v>
      </c>
      <c r="L41" s="764">
        <v>0</v>
      </c>
      <c r="M41" s="764">
        <v>0</v>
      </c>
      <c r="N41" s="764">
        <v>0</v>
      </c>
      <c r="O41" s="764">
        <v>0</v>
      </c>
      <c r="P41" s="764">
        <v>0</v>
      </c>
      <c r="Q41" s="764">
        <v>0</v>
      </c>
      <c r="R41" s="764">
        <v>0</v>
      </c>
      <c r="S41" s="764">
        <v>0</v>
      </c>
      <c r="T41" s="764">
        <v>0</v>
      </c>
    </row>
    <row r="42" spans="1:20" x14ac:dyDescent="0.25">
      <c r="A42" s="915">
        <v>27</v>
      </c>
      <c r="B42" s="5" t="s">
        <v>70</v>
      </c>
      <c r="C42" s="7" t="s">
        <v>71</v>
      </c>
      <c r="D42" s="764">
        <f t="shared" si="7"/>
        <v>450</v>
      </c>
      <c r="E42" s="764">
        <v>0</v>
      </c>
      <c r="F42" s="764">
        <v>0</v>
      </c>
      <c r="G42" s="764">
        <v>0</v>
      </c>
      <c r="H42" s="764">
        <v>0</v>
      </c>
      <c r="I42" s="764">
        <v>0</v>
      </c>
      <c r="J42" s="764">
        <v>0</v>
      </c>
      <c r="K42" s="764">
        <v>0</v>
      </c>
      <c r="L42" s="764">
        <v>0</v>
      </c>
      <c r="M42" s="764">
        <v>0</v>
      </c>
      <c r="N42" s="764">
        <v>0</v>
      </c>
      <c r="O42" s="764">
        <v>0</v>
      </c>
      <c r="P42" s="764">
        <v>0</v>
      </c>
      <c r="Q42" s="764">
        <v>225</v>
      </c>
      <c r="R42" s="764">
        <v>225</v>
      </c>
      <c r="S42" s="764">
        <v>0</v>
      </c>
      <c r="T42" s="764">
        <v>0</v>
      </c>
    </row>
    <row r="43" spans="1:20" x14ac:dyDescent="0.25">
      <c r="A43" s="915">
        <v>28</v>
      </c>
      <c r="B43" s="5" t="s">
        <v>72</v>
      </c>
      <c r="C43" s="7" t="s">
        <v>73</v>
      </c>
      <c r="D43" s="764">
        <f t="shared" si="7"/>
        <v>150</v>
      </c>
      <c r="E43" s="764">
        <v>0</v>
      </c>
      <c r="F43" s="764">
        <v>0</v>
      </c>
      <c r="G43" s="764">
        <v>0</v>
      </c>
      <c r="H43" s="764">
        <v>0</v>
      </c>
      <c r="I43" s="764">
        <v>0</v>
      </c>
      <c r="J43" s="764">
        <v>0</v>
      </c>
      <c r="K43" s="764">
        <v>0</v>
      </c>
      <c r="L43" s="764">
        <v>0</v>
      </c>
      <c r="M43" s="764">
        <v>0</v>
      </c>
      <c r="N43" s="764">
        <v>0</v>
      </c>
      <c r="O43" s="764">
        <v>0</v>
      </c>
      <c r="P43" s="764">
        <v>150</v>
      </c>
      <c r="Q43" s="764">
        <v>0</v>
      </c>
      <c r="R43" s="764">
        <v>0</v>
      </c>
      <c r="S43" s="764">
        <v>0</v>
      </c>
      <c r="T43" s="764">
        <v>0</v>
      </c>
    </row>
    <row r="44" spans="1:20" x14ac:dyDescent="0.25">
      <c r="A44" s="915">
        <v>29</v>
      </c>
      <c r="B44" s="5" t="s">
        <v>74</v>
      </c>
      <c r="C44" s="7" t="s">
        <v>75</v>
      </c>
      <c r="D44" s="764">
        <f t="shared" si="7"/>
        <v>466</v>
      </c>
      <c r="E44" s="764">
        <v>130</v>
      </c>
      <c r="F44" s="764">
        <v>135</v>
      </c>
      <c r="G44" s="764">
        <v>18</v>
      </c>
      <c r="H44" s="764">
        <v>14</v>
      </c>
      <c r="I44" s="764">
        <v>0</v>
      </c>
      <c r="J44" s="764">
        <v>0</v>
      </c>
      <c r="K44" s="764">
        <v>50</v>
      </c>
      <c r="L44" s="764">
        <v>21</v>
      </c>
      <c r="M44" s="764">
        <v>60</v>
      </c>
      <c r="N44" s="764">
        <v>38</v>
      </c>
      <c r="O44" s="764">
        <v>0</v>
      </c>
      <c r="P44" s="764">
        <v>0</v>
      </c>
      <c r="Q44" s="764">
        <v>0</v>
      </c>
      <c r="R44" s="764">
        <v>0</v>
      </c>
      <c r="S44" s="764">
        <v>0</v>
      </c>
      <c r="T44" s="764">
        <v>0</v>
      </c>
    </row>
    <row r="45" spans="1:20" x14ac:dyDescent="0.25">
      <c r="A45" s="915">
        <v>30</v>
      </c>
      <c r="B45" s="5" t="s">
        <v>76</v>
      </c>
      <c r="C45" s="7" t="s">
        <v>77</v>
      </c>
      <c r="D45" s="764">
        <f t="shared" si="7"/>
        <v>150</v>
      </c>
      <c r="E45" s="764">
        <v>4</v>
      </c>
      <c r="F45" s="764">
        <v>2</v>
      </c>
      <c r="G45" s="764">
        <v>10</v>
      </c>
      <c r="H45" s="764">
        <v>4</v>
      </c>
      <c r="I45" s="764">
        <v>10</v>
      </c>
      <c r="J45" s="764">
        <v>4</v>
      </c>
      <c r="K45" s="764">
        <v>65</v>
      </c>
      <c r="L45" s="764">
        <v>44</v>
      </c>
      <c r="M45" s="764">
        <v>5</v>
      </c>
      <c r="N45" s="764">
        <v>2</v>
      </c>
      <c r="O45" s="764">
        <v>0</v>
      </c>
      <c r="P45" s="764">
        <v>0</v>
      </c>
      <c r="Q45" s="764">
        <v>0</v>
      </c>
      <c r="R45" s="764">
        <v>0</v>
      </c>
      <c r="S45" s="764">
        <v>0</v>
      </c>
      <c r="T45" s="764">
        <v>0</v>
      </c>
    </row>
    <row r="46" spans="1:20" x14ac:dyDescent="0.25">
      <c r="A46" s="915">
        <v>31</v>
      </c>
      <c r="B46" s="5" t="s">
        <v>78</v>
      </c>
      <c r="C46" s="7" t="s">
        <v>79</v>
      </c>
      <c r="D46" s="764">
        <f t="shared" si="7"/>
        <v>60</v>
      </c>
      <c r="E46" s="764">
        <v>2</v>
      </c>
      <c r="F46" s="764">
        <v>1</v>
      </c>
      <c r="G46" s="764">
        <v>8</v>
      </c>
      <c r="H46" s="764">
        <v>2</v>
      </c>
      <c r="I46" s="764">
        <v>4</v>
      </c>
      <c r="J46" s="764">
        <v>2</v>
      </c>
      <c r="K46" s="764">
        <v>20</v>
      </c>
      <c r="L46" s="764">
        <v>16</v>
      </c>
      <c r="M46" s="764">
        <v>3</v>
      </c>
      <c r="N46" s="764">
        <v>2</v>
      </c>
      <c r="O46" s="764">
        <v>0</v>
      </c>
      <c r="P46" s="764">
        <v>0</v>
      </c>
      <c r="Q46" s="764">
        <v>0</v>
      </c>
      <c r="R46" s="764">
        <v>0</v>
      </c>
      <c r="S46" s="764">
        <v>0</v>
      </c>
      <c r="T46" s="764">
        <v>0</v>
      </c>
    </row>
    <row r="47" spans="1:20" x14ac:dyDescent="0.25">
      <c r="A47" s="915">
        <v>32</v>
      </c>
      <c r="B47" s="5" t="s">
        <v>80</v>
      </c>
      <c r="C47" s="7" t="s">
        <v>81</v>
      </c>
      <c r="D47" s="764">
        <f t="shared" si="7"/>
        <v>300</v>
      </c>
      <c r="E47" s="764">
        <v>10</v>
      </c>
      <c r="F47" s="764">
        <v>5</v>
      </c>
      <c r="G47" s="764">
        <v>30</v>
      </c>
      <c r="H47" s="764">
        <v>12</v>
      </c>
      <c r="I47" s="764">
        <v>30</v>
      </c>
      <c r="J47" s="764">
        <v>12</v>
      </c>
      <c r="K47" s="764">
        <v>150</v>
      </c>
      <c r="L47" s="764">
        <v>51</v>
      </c>
      <c r="M47" s="764">
        <v>0</v>
      </c>
      <c r="N47" s="764">
        <v>0</v>
      </c>
      <c r="O47" s="764">
        <v>0</v>
      </c>
      <c r="P47" s="764">
        <v>0</v>
      </c>
      <c r="Q47" s="764">
        <v>0</v>
      </c>
      <c r="R47" s="764">
        <v>0</v>
      </c>
      <c r="S47" s="764">
        <v>0</v>
      </c>
      <c r="T47" s="764">
        <v>0</v>
      </c>
    </row>
    <row r="48" spans="1:20" x14ac:dyDescent="0.25">
      <c r="A48" s="915">
        <v>33</v>
      </c>
      <c r="B48" s="8" t="s">
        <v>82</v>
      </c>
      <c r="C48" s="9" t="s">
        <v>83</v>
      </c>
      <c r="D48" s="764">
        <f t="shared" si="7"/>
        <v>150</v>
      </c>
      <c r="E48" s="764">
        <v>6</v>
      </c>
      <c r="F48" s="764">
        <v>2</v>
      </c>
      <c r="G48" s="764">
        <v>13</v>
      </c>
      <c r="H48" s="764">
        <v>8</v>
      </c>
      <c r="I48" s="764">
        <v>13</v>
      </c>
      <c r="J48" s="764">
        <v>8</v>
      </c>
      <c r="K48" s="764">
        <v>50</v>
      </c>
      <c r="L48" s="764">
        <v>42</v>
      </c>
      <c r="M48" s="764">
        <v>5</v>
      </c>
      <c r="N48" s="764">
        <v>3</v>
      </c>
      <c r="O48" s="764">
        <v>0</v>
      </c>
      <c r="P48" s="764">
        <v>0</v>
      </c>
      <c r="Q48" s="764">
        <v>0</v>
      </c>
      <c r="R48" s="764">
        <v>0</v>
      </c>
      <c r="S48" s="764">
        <v>0</v>
      </c>
      <c r="T48" s="764">
        <v>0</v>
      </c>
    </row>
    <row r="49" spans="1:20" x14ac:dyDescent="0.25">
      <c r="A49" s="915">
        <v>34</v>
      </c>
      <c r="B49" s="8" t="s">
        <v>84</v>
      </c>
      <c r="C49" s="9" t="s">
        <v>85</v>
      </c>
      <c r="D49" s="764">
        <f t="shared" si="7"/>
        <v>100</v>
      </c>
      <c r="E49" s="764">
        <v>4</v>
      </c>
      <c r="F49" s="764">
        <v>2</v>
      </c>
      <c r="G49" s="764">
        <v>10</v>
      </c>
      <c r="H49" s="764">
        <v>4</v>
      </c>
      <c r="I49" s="764">
        <v>10</v>
      </c>
      <c r="J49" s="764">
        <v>4</v>
      </c>
      <c r="K49" s="764">
        <v>46</v>
      </c>
      <c r="L49" s="764">
        <v>20</v>
      </c>
      <c r="M49" s="764">
        <v>0</v>
      </c>
      <c r="N49" s="764">
        <v>0</v>
      </c>
      <c r="O49" s="764">
        <v>0</v>
      </c>
      <c r="P49" s="764">
        <v>0</v>
      </c>
      <c r="Q49" s="764">
        <v>0</v>
      </c>
      <c r="R49" s="764">
        <v>0</v>
      </c>
      <c r="S49" s="764">
        <v>0</v>
      </c>
      <c r="T49" s="764">
        <v>0</v>
      </c>
    </row>
    <row r="50" spans="1:20" x14ac:dyDescent="0.25">
      <c r="A50" s="915">
        <v>35</v>
      </c>
      <c r="B50" s="8" t="s">
        <v>86</v>
      </c>
      <c r="C50" s="9" t="s">
        <v>87</v>
      </c>
      <c r="D50" s="764">
        <f t="shared" si="7"/>
        <v>50</v>
      </c>
      <c r="E50" s="764">
        <v>2</v>
      </c>
      <c r="F50" s="764">
        <v>1</v>
      </c>
      <c r="G50" s="764">
        <v>0</v>
      </c>
      <c r="H50" s="764">
        <v>0</v>
      </c>
      <c r="I50" s="764">
        <v>8</v>
      </c>
      <c r="J50" s="764">
        <v>6</v>
      </c>
      <c r="K50" s="764">
        <v>12</v>
      </c>
      <c r="L50" s="764">
        <v>10</v>
      </c>
      <c r="M50" s="764">
        <v>8</v>
      </c>
      <c r="N50" s="764">
        <v>3</v>
      </c>
      <c r="O50" s="764">
        <v>0</v>
      </c>
      <c r="P50" s="764">
        <v>0</v>
      </c>
      <c r="Q50" s="764">
        <v>0</v>
      </c>
      <c r="R50" s="764">
        <v>0</v>
      </c>
      <c r="S50" s="764">
        <v>0</v>
      </c>
      <c r="T50" s="764">
        <v>0</v>
      </c>
    </row>
    <row r="51" spans="1:20" x14ac:dyDescent="0.25">
      <c r="A51" s="915">
        <v>36</v>
      </c>
      <c r="B51" s="10" t="s">
        <v>88</v>
      </c>
      <c r="C51" s="9" t="s">
        <v>89</v>
      </c>
      <c r="D51" s="764">
        <f t="shared" si="7"/>
        <v>40</v>
      </c>
      <c r="E51" s="764">
        <v>1</v>
      </c>
      <c r="F51" s="764">
        <v>1</v>
      </c>
      <c r="G51" s="764">
        <v>4</v>
      </c>
      <c r="H51" s="764">
        <v>2</v>
      </c>
      <c r="I51" s="764">
        <v>4</v>
      </c>
      <c r="J51" s="764">
        <v>1</v>
      </c>
      <c r="K51" s="764">
        <v>17</v>
      </c>
      <c r="L51" s="764">
        <v>10</v>
      </c>
      <c r="M51" s="764">
        <v>0</v>
      </c>
      <c r="N51" s="764">
        <v>0</v>
      </c>
      <c r="O51" s="764">
        <v>0</v>
      </c>
      <c r="P51" s="764">
        <v>0</v>
      </c>
      <c r="Q51" s="764">
        <v>0</v>
      </c>
      <c r="R51" s="764">
        <v>0</v>
      </c>
      <c r="S51" s="764">
        <v>0</v>
      </c>
      <c r="T51" s="764">
        <v>0</v>
      </c>
    </row>
    <row r="52" spans="1:20" s="863" customFormat="1" x14ac:dyDescent="0.25">
      <c r="A52" s="2"/>
      <c r="B52" s="4"/>
      <c r="C52" s="4" t="s">
        <v>90</v>
      </c>
      <c r="D52" s="765">
        <f t="shared" ref="D52:T52" si="8">SUM(D8:D51)-D8-D11-D18-D21</f>
        <v>12119</v>
      </c>
      <c r="E52" s="765">
        <f t="shared" si="8"/>
        <v>1168</v>
      </c>
      <c r="F52" s="765">
        <f t="shared" si="8"/>
        <v>395</v>
      </c>
      <c r="G52" s="765">
        <f t="shared" si="8"/>
        <v>941</v>
      </c>
      <c r="H52" s="765">
        <f t="shared" si="8"/>
        <v>474</v>
      </c>
      <c r="I52" s="765">
        <f t="shared" si="8"/>
        <v>2453</v>
      </c>
      <c r="J52" s="765">
        <f t="shared" si="8"/>
        <v>1242</v>
      </c>
      <c r="K52" s="765">
        <f t="shared" si="8"/>
        <v>3005</v>
      </c>
      <c r="L52" s="765">
        <f t="shared" si="8"/>
        <v>1191</v>
      </c>
      <c r="M52" s="765">
        <f t="shared" si="8"/>
        <v>285</v>
      </c>
      <c r="N52" s="765">
        <f t="shared" si="8"/>
        <v>88</v>
      </c>
      <c r="O52" s="765">
        <f t="shared" si="8"/>
        <v>84</v>
      </c>
      <c r="P52" s="765">
        <f t="shared" si="8"/>
        <v>234</v>
      </c>
      <c r="Q52" s="765">
        <f t="shared" si="8"/>
        <v>255</v>
      </c>
      <c r="R52" s="765">
        <f t="shared" si="8"/>
        <v>225</v>
      </c>
      <c r="S52" s="765">
        <f t="shared" si="8"/>
        <v>58</v>
      </c>
      <c r="T52" s="765">
        <f t="shared" si="8"/>
        <v>21</v>
      </c>
    </row>
    <row r="53" spans="1:20" x14ac:dyDescent="0.25">
      <c r="A53" s="865"/>
      <c r="B53" s="865"/>
      <c r="C53" s="866" t="s">
        <v>18</v>
      </c>
      <c r="D53" s="764">
        <f t="shared" ref="D53:T53" si="9">D9+D12+D19+D22+SUM(D26:D51)</f>
        <v>9089</v>
      </c>
      <c r="E53" s="764">
        <f t="shared" si="9"/>
        <v>376</v>
      </c>
      <c r="F53" s="764">
        <f t="shared" si="9"/>
        <v>326</v>
      </c>
      <c r="G53" s="764">
        <f t="shared" si="9"/>
        <v>898</v>
      </c>
      <c r="H53" s="764">
        <f t="shared" si="9"/>
        <v>466</v>
      </c>
      <c r="I53" s="764">
        <f t="shared" si="9"/>
        <v>1928</v>
      </c>
      <c r="J53" s="764">
        <f t="shared" si="9"/>
        <v>1184</v>
      </c>
      <c r="K53" s="764">
        <f t="shared" si="9"/>
        <v>1824</v>
      </c>
      <c r="L53" s="764">
        <f t="shared" si="9"/>
        <v>978</v>
      </c>
      <c r="M53" s="764">
        <f t="shared" si="9"/>
        <v>179</v>
      </c>
      <c r="N53" s="764">
        <f t="shared" si="9"/>
        <v>83</v>
      </c>
      <c r="O53" s="764">
        <f t="shared" si="9"/>
        <v>84</v>
      </c>
      <c r="P53" s="764">
        <f t="shared" si="9"/>
        <v>234</v>
      </c>
      <c r="Q53" s="764">
        <f t="shared" si="9"/>
        <v>225</v>
      </c>
      <c r="R53" s="764">
        <f t="shared" si="9"/>
        <v>225</v>
      </c>
      <c r="S53" s="764">
        <f t="shared" si="9"/>
        <v>58</v>
      </c>
      <c r="T53" s="764">
        <f t="shared" si="9"/>
        <v>21</v>
      </c>
    </row>
    <row r="54" spans="1:20" x14ac:dyDescent="0.25">
      <c r="A54" s="865"/>
      <c r="B54" s="865"/>
      <c r="C54" s="866" t="s">
        <v>19</v>
      </c>
      <c r="D54" s="764">
        <f t="shared" ref="D54:T54" si="10">D10+D13+D14+D15+D16+D17+D20+D23+D25+D24</f>
        <v>3030</v>
      </c>
      <c r="E54" s="764">
        <f t="shared" si="10"/>
        <v>792</v>
      </c>
      <c r="F54" s="764">
        <f t="shared" si="10"/>
        <v>69</v>
      </c>
      <c r="G54" s="764">
        <f t="shared" si="10"/>
        <v>43</v>
      </c>
      <c r="H54" s="764">
        <f t="shared" si="10"/>
        <v>8</v>
      </c>
      <c r="I54" s="764">
        <f t="shared" si="10"/>
        <v>525</v>
      </c>
      <c r="J54" s="764">
        <f t="shared" si="10"/>
        <v>58</v>
      </c>
      <c r="K54" s="764">
        <f t="shared" si="10"/>
        <v>1181</v>
      </c>
      <c r="L54" s="764">
        <f t="shared" si="10"/>
        <v>213</v>
      </c>
      <c r="M54" s="764">
        <f t="shared" si="10"/>
        <v>106</v>
      </c>
      <c r="N54" s="764">
        <f t="shared" si="10"/>
        <v>5</v>
      </c>
      <c r="O54" s="764">
        <f t="shared" si="10"/>
        <v>0</v>
      </c>
      <c r="P54" s="764">
        <f t="shared" si="10"/>
        <v>0</v>
      </c>
      <c r="Q54" s="764">
        <f t="shared" si="10"/>
        <v>30</v>
      </c>
      <c r="R54" s="764">
        <f t="shared" si="10"/>
        <v>0</v>
      </c>
      <c r="S54" s="764">
        <f t="shared" si="10"/>
        <v>0</v>
      </c>
      <c r="T54" s="764">
        <f t="shared" si="10"/>
        <v>0</v>
      </c>
    </row>
  </sheetData>
  <mergeCells count="14">
    <mergeCell ref="M5:N5"/>
    <mergeCell ref="O5:P5"/>
    <mergeCell ref="Q5:R5"/>
    <mergeCell ref="S5:T5"/>
    <mergeCell ref="A2:T2"/>
    <mergeCell ref="A4:A6"/>
    <mergeCell ref="B4:B6"/>
    <mergeCell ref="C4:C6"/>
    <mergeCell ref="D4:T4"/>
    <mergeCell ref="D5:D6"/>
    <mergeCell ref="E5:F5"/>
    <mergeCell ref="G5:H5"/>
    <mergeCell ref="I5:J5"/>
    <mergeCell ref="K5:L5"/>
  </mergeCells>
  <pageMargins left="0.23622047244094491" right="0.23622047244094491" top="0.55118110236220474" bottom="0.15748031496062992" header="0.31496062992125984" footer="0.31496062992125984"/>
  <pageSetup paperSize="9" scale="6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111"/>
  <sheetViews>
    <sheetView zoomScaleNormal="100" zoomScaleSheetLayoutView="70" workbookViewId="0">
      <pane xSplit="1" ySplit="3" topLeftCell="B88" activePane="bottomRight" state="frozen"/>
      <selection activeCell="AB31" sqref="AB31"/>
      <selection pane="topRight" activeCell="AB31" sqref="AB31"/>
      <selection pane="bottomLeft" activeCell="AB31" sqref="AB31"/>
      <selection pane="bottomRight" activeCell="AB5" sqref="AB5:AB105"/>
    </sheetView>
  </sheetViews>
  <sheetFormatPr defaultRowHeight="12.75" x14ac:dyDescent="0.2"/>
  <cols>
    <col min="1" max="1" width="17.7109375" style="744" customWidth="1"/>
    <col min="2" max="6" width="7.5703125" style="390" customWidth="1"/>
    <col min="7" max="7" width="7.5703125" style="391" customWidth="1"/>
    <col min="8" max="10" width="7.5703125" style="390" customWidth="1"/>
    <col min="11" max="11" width="7.5703125" style="391" customWidth="1"/>
    <col min="12" max="12" width="7.5703125" style="390" customWidth="1"/>
    <col min="13" max="13" width="7.5703125" style="363" customWidth="1"/>
    <col min="14" max="14" width="7.5703125" style="394" customWidth="1"/>
    <col min="15" max="15" width="7.5703125" style="391" customWidth="1"/>
    <col min="16" max="17" width="7.5703125" style="390" customWidth="1"/>
    <col min="18" max="18" width="7.5703125" style="391" customWidth="1"/>
    <col min="19" max="19" width="7.5703125" style="390" customWidth="1"/>
    <col min="20" max="23" width="7.5703125" style="363" customWidth="1"/>
    <col min="24" max="24" width="7.5703125" style="362" customWidth="1"/>
    <col min="25" max="25" width="7.5703125" style="363" customWidth="1"/>
    <col min="26" max="26" width="7.5703125" style="362" customWidth="1"/>
    <col min="27" max="28" width="7.5703125" style="390" customWidth="1"/>
    <col min="29" max="30" width="7.5703125" style="363" customWidth="1"/>
    <col min="31" max="32" width="7.5703125" style="362" customWidth="1"/>
    <col min="33" max="16384" width="9.140625" style="363"/>
  </cols>
  <sheetData>
    <row r="1" spans="1:32" ht="17.25" customHeight="1" x14ac:dyDescent="0.2">
      <c r="A1" s="945" t="s">
        <v>487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  <c r="P1" s="945"/>
      <c r="Q1" s="945"/>
      <c r="R1" s="945"/>
      <c r="S1" s="945"/>
      <c r="T1" s="945"/>
      <c r="U1" s="945"/>
      <c r="V1" s="945"/>
      <c r="W1" s="945"/>
      <c r="X1" s="945"/>
      <c r="Y1" s="945"/>
      <c r="Z1" s="945"/>
      <c r="AA1" s="945"/>
      <c r="AB1" s="945"/>
      <c r="AC1" s="945"/>
      <c r="AD1" s="945"/>
      <c r="AE1" s="945"/>
      <c r="AF1" s="945"/>
    </row>
    <row r="2" spans="1:32" s="364" customFormat="1" ht="38.25" customHeight="1" x14ac:dyDescent="0.2">
      <c r="A2" s="943" t="s">
        <v>488</v>
      </c>
      <c r="B2" s="747" t="s">
        <v>295</v>
      </c>
      <c r="C2" s="747" t="s">
        <v>303</v>
      </c>
      <c r="D2" s="747" t="s">
        <v>300</v>
      </c>
      <c r="E2" s="747" t="s">
        <v>73</v>
      </c>
      <c r="F2" s="747" t="s">
        <v>489</v>
      </c>
      <c r="G2" s="747" t="s">
        <v>298</v>
      </c>
      <c r="H2" s="747" t="s">
        <v>69</v>
      </c>
      <c r="I2" s="747" t="s">
        <v>490</v>
      </c>
      <c r="J2" s="747" t="s">
        <v>491</v>
      </c>
      <c r="K2" s="747" t="s">
        <v>492</v>
      </c>
      <c r="L2" s="747" t="s">
        <v>55</v>
      </c>
      <c r="M2" s="747" t="s">
        <v>493</v>
      </c>
      <c r="N2" s="747" t="s">
        <v>732</v>
      </c>
      <c r="O2" s="747" t="s">
        <v>494</v>
      </c>
      <c r="P2" s="747" t="s">
        <v>33</v>
      </c>
      <c r="Q2" s="747" t="s">
        <v>495</v>
      </c>
      <c r="R2" s="747" t="s">
        <v>496</v>
      </c>
      <c r="S2" s="747" t="s">
        <v>497</v>
      </c>
      <c r="T2" s="747" t="s">
        <v>498</v>
      </c>
      <c r="U2" s="747" t="s">
        <v>499</v>
      </c>
      <c r="V2" s="747" t="s">
        <v>500</v>
      </c>
      <c r="W2" s="747" t="s">
        <v>501</v>
      </c>
      <c r="X2" s="747" t="s">
        <v>59</v>
      </c>
      <c r="Y2" s="747" t="s">
        <v>251</v>
      </c>
      <c r="Z2" s="747" t="s">
        <v>502</v>
      </c>
      <c r="AA2" s="747" t="s">
        <v>503</v>
      </c>
      <c r="AB2" s="747" t="s">
        <v>190</v>
      </c>
      <c r="AC2" s="747" t="s">
        <v>504</v>
      </c>
      <c r="AD2" s="747" t="s">
        <v>505</v>
      </c>
      <c r="AE2" s="747" t="s">
        <v>361</v>
      </c>
      <c r="AF2" s="748" t="s">
        <v>506</v>
      </c>
    </row>
    <row r="3" spans="1:32" s="364" customFormat="1" ht="100.5" customHeight="1" x14ac:dyDescent="0.2">
      <c r="A3" s="944"/>
      <c r="B3" s="365" t="s">
        <v>507</v>
      </c>
      <c r="C3" s="365" t="s">
        <v>507</v>
      </c>
      <c r="D3" s="365" t="s">
        <v>507</v>
      </c>
      <c r="E3" s="365" t="s">
        <v>507</v>
      </c>
      <c r="F3" s="365" t="s">
        <v>507</v>
      </c>
      <c r="G3" s="365" t="s">
        <v>507</v>
      </c>
      <c r="H3" s="365" t="s">
        <v>507</v>
      </c>
      <c r="I3" s="365" t="s">
        <v>507</v>
      </c>
      <c r="J3" s="365" t="s">
        <v>507</v>
      </c>
      <c r="K3" s="365" t="s">
        <v>507</v>
      </c>
      <c r="L3" s="365" t="s">
        <v>507</v>
      </c>
      <c r="M3" s="365" t="s">
        <v>507</v>
      </c>
      <c r="N3" s="365" t="s">
        <v>507</v>
      </c>
      <c r="O3" s="365" t="s">
        <v>507</v>
      </c>
      <c r="P3" s="365" t="s">
        <v>507</v>
      </c>
      <c r="Q3" s="365" t="s">
        <v>507</v>
      </c>
      <c r="R3" s="365" t="s">
        <v>507</v>
      </c>
      <c r="S3" s="365" t="s">
        <v>507</v>
      </c>
      <c r="T3" s="365" t="s">
        <v>507</v>
      </c>
      <c r="U3" s="365" t="s">
        <v>507</v>
      </c>
      <c r="V3" s="365" t="s">
        <v>507</v>
      </c>
      <c r="W3" s="365" t="s">
        <v>507</v>
      </c>
      <c r="X3" s="365" t="s">
        <v>507</v>
      </c>
      <c r="Y3" s="365" t="s">
        <v>507</v>
      </c>
      <c r="Z3" s="365" t="s">
        <v>507</v>
      </c>
      <c r="AA3" s="365" t="s">
        <v>507</v>
      </c>
      <c r="AB3" s="365" t="s">
        <v>507</v>
      </c>
      <c r="AC3" s="365" t="s">
        <v>507</v>
      </c>
      <c r="AD3" s="365" t="s">
        <v>507</v>
      </c>
      <c r="AE3" s="365" t="s">
        <v>507</v>
      </c>
      <c r="AF3" s="365" t="s">
        <v>507</v>
      </c>
    </row>
    <row r="4" spans="1:32" s="367" customFormat="1" ht="11.25" hidden="1" customHeight="1" x14ac:dyDescent="0.2">
      <c r="A4" s="366"/>
      <c r="B4" s="366">
        <v>3</v>
      </c>
      <c r="C4" s="366">
        <v>5</v>
      </c>
      <c r="D4" s="366">
        <v>7</v>
      </c>
      <c r="E4" s="366">
        <v>9</v>
      </c>
      <c r="F4" s="366">
        <v>11</v>
      </c>
      <c r="G4" s="366">
        <v>13</v>
      </c>
      <c r="H4" s="366">
        <v>15</v>
      </c>
      <c r="I4" s="366">
        <v>17</v>
      </c>
      <c r="J4" s="366">
        <v>19</v>
      </c>
      <c r="K4" s="366">
        <v>21</v>
      </c>
      <c r="L4" s="366">
        <v>23</v>
      </c>
      <c r="M4" s="366">
        <v>25</v>
      </c>
      <c r="N4" s="366">
        <v>27</v>
      </c>
      <c r="O4" s="366">
        <v>29</v>
      </c>
      <c r="P4" s="366">
        <v>31</v>
      </c>
      <c r="Q4" s="366">
        <v>33</v>
      </c>
      <c r="R4" s="366">
        <v>35</v>
      </c>
      <c r="S4" s="366">
        <v>37</v>
      </c>
      <c r="T4" s="366">
        <v>39</v>
      </c>
      <c r="U4" s="366">
        <v>41</v>
      </c>
      <c r="V4" s="366">
        <v>43</v>
      </c>
      <c r="W4" s="366">
        <v>45</v>
      </c>
      <c r="X4" s="366">
        <v>47</v>
      </c>
      <c r="Y4" s="366">
        <v>49</v>
      </c>
      <c r="Z4" s="366">
        <v>51</v>
      </c>
      <c r="AA4" s="366">
        <v>53</v>
      </c>
      <c r="AB4" s="366">
        <v>55</v>
      </c>
      <c r="AC4" s="366">
        <v>57</v>
      </c>
      <c r="AD4" s="366">
        <v>59</v>
      </c>
      <c r="AE4" s="366">
        <v>61</v>
      </c>
      <c r="AF4" s="366">
        <v>63</v>
      </c>
    </row>
    <row r="5" spans="1:32" s="369" customFormat="1" ht="24" customHeight="1" x14ac:dyDescent="0.2">
      <c r="A5" s="738" t="s">
        <v>508</v>
      </c>
      <c r="B5" s="368">
        <v>294</v>
      </c>
      <c r="C5" s="368">
        <v>0</v>
      </c>
      <c r="D5" s="368">
        <v>252</v>
      </c>
      <c r="E5" s="368">
        <v>0</v>
      </c>
      <c r="F5" s="368">
        <v>0</v>
      </c>
      <c r="G5" s="368">
        <v>0</v>
      </c>
      <c r="H5" s="368">
        <v>0</v>
      </c>
      <c r="I5" s="368">
        <v>90</v>
      </c>
      <c r="J5" s="368">
        <v>0</v>
      </c>
      <c r="K5" s="368">
        <v>40</v>
      </c>
      <c r="L5" s="368">
        <v>30</v>
      </c>
      <c r="M5" s="368">
        <v>129</v>
      </c>
      <c r="N5" s="368">
        <v>52</v>
      </c>
      <c r="O5" s="368">
        <v>35</v>
      </c>
      <c r="P5" s="368">
        <v>0</v>
      </c>
      <c r="Q5" s="368">
        <v>0</v>
      </c>
      <c r="R5" s="368">
        <v>0</v>
      </c>
      <c r="S5" s="368">
        <v>0</v>
      </c>
      <c r="T5" s="368">
        <v>0</v>
      </c>
      <c r="U5" s="368">
        <v>12</v>
      </c>
      <c r="V5" s="368">
        <v>0</v>
      </c>
      <c r="W5" s="368">
        <v>0</v>
      </c>
      <c r="X5" s="368">
        <v>0</v>
      </c>
      <c r="Y5" s="368">
        <v>0</v>
      </c>
      <c r="Z5" s="368">
        <v>0</v>
      </c>
      <c r="AA5" s="368">
        <v>190</v>
      </c>
      <c r="AB5" s="368">
        <v>0</v>
      </c>
      <c r="AC5" s="368">
        <v>0</v>
      </c>
      <c r="AD5" s="368">
        <f>SUM(B5:AC5)</f>
        <v>1124</v>
      </c>
      <c r="AE5" s="368">
        <v>0</v>
      </c>
      <c r="AF5" s="368">
        <f>AF6+AF7+AF8+AF9</f>
        <v>1124</v>
      </c>
    </row>
    <row r="6" spans="1:32" s="367" customFormat="1" ht="13.5" customHeight="1" x14ac:dyDescent="0.2">
      <c r="A6" s="366">
        <v>1</v>
      </c>
      <c r="B6" s="370">
        <v>214</v>
      </c>
      <c r="C6" s="370"/>
      <c r="D6" s="370">
        <v>112</v>
      </c>
      <c r="E6" s="370"/>
      <c r="F6" s="370"/>
      <c r="G6" s="370"/>
      <c r="H6" s="370"/>
      <c r="I6" s="370"/>
      <c r="J6" s="370"/>
      <c r="K6" s="370">
        <v>30</v>
      </c>
      <c r="L6" s="370">
        <v>13</v>
      </c>
      <c r="M6" s="370">
        <v>100</v>
      </c>
      <c r="N6" s="370">
        <v>23</v>
      </c>
      <c r="O6" s="370">
        <v>35</v>
      </c>
      <c r="P6" s="370"/>
      <c r="Q6" s="370"/>
      <c r="R6" s="370"/>
      <c r="S6" s="370"/>
      <c r="T6" s="370"/>
      <c r="U6" s="371">
        <v>12</v>
      </c>
      <c r="V6" s="371"/>
      <c r="W6" s="371"/>
      <c r="X6" s="372"/>
      <c r="Y6" s="372"/>
      <c r="Z6" s="372"/>
      <c r="AA6" s="371">
        <v>150</v>
      </c>
      <c r="AB6" s="371"/>
      <c r="AC6" s="370"/>
      <c r="AD6" s="373">
        <f t="shared" ref="AD6:AD69" si="0">SUM(B6:AC6)</f>
        <v>689</v>
      </c>
      <c r="AE6" s="372"/>
      <c r="AF6" s="374">
        <f>AD6+AE6</f>
        <v>689</v>
      </c>
    </row>
    <row r="7" spans="1:32" s="367" customFormat="1" ht="13.5" customHeight="1" x14ac:dyDescent="0.2">
      <c r="A7" s="366">
        <v>2</v>
      </c>
      <c r="B7" s="371">
        <v>80</v>
      </c>
      <c r="C7" s="371"/>
      <c r="D7" s="371">
        <v>140</v>
      </c>
      <c r="E7" s="370"/>
      <c r="F7" s="371"/>
      <c r="G7" s="375"/>
      <c r="H7" s="371"/>
      <c r="I7" s="371">
        <v>90</v>
      </c>
      <c r="J7" s="371"/>
      <c r="K7" s="370">
        <v>10</v>
      </c>
      <c r="L7" s="371">
        <v>17</v>
      </c>
      <c r="M7" s="370">
        <v>29</v>
      </c>
      <c r="N7" s="371">
        <v>29</v>
      </c>
      <c r="O7" s="370"/>
      <c r="P7" s="371"/>
      <c r="Q7" s="371"/>
      <c r="R7" s="375"/>
      <c r="S7" s="371"/>
      <c r="T7" s="370"/>
      <c r="U7" s="371"/>
      <c r="V7" s="371"/>
      <c r="W7" s="371"/>
      <c r="X7" s="372"/>
      <c r="Y7" s="372"/>
      <c r="Z7" s="372"/>
      <c r="AA7" s="371">
        <v>40</v>
      </c>
      <c r="AB7" s="371"/>
      <c r="AC7" s="370"/>
      <c r="AD7" s="373">
        <f t="shared" si="0"/>
        <v>435</v>
      </c>
      <c r="AE7" s="372"/>
      <c r="AF7" s="374">
        <f>AD7+AE7</f>
        <v>435</v>
      </c>
    </row>
    <row r="8" spans="1:32" s="367" customFormat="1" ht="13.5" customHeight="1" x14ac:dyDescent="0.2">
      <c r="A8" s="366">
        <v>3</v>
      </c>
      <c r="B8" s="371"/>
      <c r="C8" s="371"/>
      <c r="D8" s="371"/>
      <c r="E8" s="370"/>
      <c r="F8" s="371"/>
      <c r="G8" s="375"/>
      <c r="H8" s="371"/>
      <c r="I8" s="371"/>
      <c r="J8" s="371"/>
      <c r="K8" s="370"/>
      <c r="L8" s="371"/>
      <c r="M8" s="370"/>
      <c r="N8" s="371"/>
      <c r="O8" s="370"/>
      <c r="P8" s="371"/>
      <c r="Q8" s="371"/>
      <c r="R8" s="375"/>
      <c r="S8" s="371"/>
      <c r="T8" s="370"/>
      <c r="U8" s="371"/>
      <c r="V8" s="371"/>
      <c r="W8" s="371"/>
      <c r="X8" s="372"/>
      <c r="Y8" s="372"/>
      <c r="Z8" s="372"/>
      <c r="AA8" s="371"/>
      <c r="AB8" s="371"/>
      <c r="AC8" s="370"/>
      <c r="AD8" s="373">
        <f t="shared" si="0"/>
        <v>0</v>
      </c>
      <c r="AE8" s="372"/>
      <c r="AF8" s="374">
        <f>AD8+AE8</f>
        <v>0</v>
      </c>
    </row>
    <row r="9" spans="1:32" s="367" customFormat="1" ht="13.5" customHeight="1" x14ac:dyDescent="0.2">
      <c r="A9" s="366">
        <v>4</v>
      </c>
      <c r="B9" s="371"/>
      <c r="C9" s="371"/>
      <c r="D9" s="371"/>
      <c r="E9" s="370"/>
      <c r="F9" s="371"/>
      <c r="G9" s="375"/>
      <c r="H9" s="371"/>
      <c r="I9" s="371"/>
      <c r="J9" s="371"/>
      <c r="K9" s="370"/>
      <c r="L9" s="371"/>
      <c r="M9" s="370"/>
      <c r="N9" s="371"/>
      <c r="O9" s="370"/>
      <c r="P9" s="371"/>
      <c r="Q9" s="371"/>
      <c r="R9" s="375"/>
      <c r="S9" s="371"/>
      <c r="T9" s="370"/>
      <c r="U9" s="371"/>
      <c r="V9" s="371"/>
      <c r="W9" s="371"/>
      <c r="X9" s="372"/>
      <c r="Y9" s="372"/>
      <c r="Z9" s="372"/>
      <c r="AA9" s="371"/>
      <c r="AB9" s="371"/>
      <c r="AC9" s="370"/>
      <c r="AD9" s="373">
        <f t="shared" si="0"/>
        <v>0</v>
      </c>
      <c r="AE9" s="372"/>
      <c r="AF9" s="374">
        <f>AD9+AE9</f>
        <v>0</v>
      </c>
    </row>
    <row r="10" spans="1:32" s="367" customFormat="1" ht="20.25" customHeight="1" x14ac:dyDescent="0.2">
      <c r="A10" s="738" t="s">
        <v>509</v>
      </c>
      <c r="B10" s="368">
        <v>50</v>
      </c>
      <c r="C10" s="368">
        <v>0</v>
      </c>
      <c r="D10" s="368">
        <v>0</v>
      </c>
      <c r="E10" s="368">
        <v>0</v>
      </c>
      <c r="F10" s="368">
        <v>0</v>
      </c>
      <c r="G10" s="368">
        <v>0</v>
      </c>
      <c r="H10" s="368">
        <v>0</v>
      </c>
      <c r="I10" s="368">
        <v>9</v>
      </c>
      <c r="J10" s="368">
        <v>0</v>
      </c>
      <c r="K10" s="368">
        <v>0</v>
      </c>
      <c r="L10" s="368">
        <v>0</v>
      </c>
      <c r="M10" s="368">
        <v>0</v>
      </c>
      <c r="N10" s="368">
        <v>9</v>
      </c>
      <c r="O10" s="368">
        <v>0</v>
      </c>
      <c r="P10" s="368">
        <v>0</v>
      </c>
      <c r="Q10" s="368">
        <v>0</v>
      </c>
      <c r="R10" s="368">
        <v>0</v>
      </c>
      <c r="S10" s="368">
        <v>0</v>
      </c>
      <c r="T10" s="368">
        <v>0</v>
      </c>
      <c r="U10" s="368">
        <v>0</v>
      </c>
      <c r="V10" s="368">
        <v>0</v>
      </c>
      <c r="W10" s="368">
        <v>0</v>
      </c>
      <c r="X10" s="368">
        <v>0</v>
      </c>
      <c r="Y10" s="368">
        <v>0</v>
      </c>
      <c r="Z10" s="368">
        <v>0</v>
      </c>
      <c r="AA10" s="368">
        <v>0</v>
      </c>
      <c r="AB10" s="368">
        <v>0</v>
      </c>
      <c r="AC10" s="368">
        <v>0</v>
      </c>
      <c r="AD10" s="368">
        <f t="shared" si="0"/>
        <v>68</v>
      </c>
      <c r="AE10" s="368">
        <v>0</v>
      </c>
      <c r="AF10" s="368">
        <f t="shared" ref="AF10" si="1">AF11</f>
        <v>68</v>
      </c>
    </row>
    <row r="11" spans="1:32" s="367" customFormat="1" ht="15" customHeight="1" x14ac:dyDescent="0.2">
      <c r="A11" s="366">
        <v>5</v>
      </c>
      <c r="B11" s="371">
        <v>50</v>
      </c>
      <c r="C11" s="371"/>
      <c r="D11" s="371"/>
      <c r="E11" s="371"/>
      <c r="F11" s="371"/>
      <c r="G11" s="371"/>
      <c r="H11" s="371"/>
      <c r="I11" s="371">
        <v>9</v>
      </c>
      <c r="J11" s="371"/>
      <c r="K11" s="371"/>
      <c r="L11" s="371"/>
      <c r="M11" s="370"/>
      <c r="N11" s="371">
        <v>9</v>
      </c>
      <c r="O11" s="371"/>
      <c r="P11" s="371"/>
      <c r="Q11" s="371"/>
      <c r="R11" s="371"/>
      <c r="S11" s="371"/>
      <c r="T11" s="370"/>
      <c r="U11" s="371"/>
      <c r="V11" s="371"/>
      <c r="W11" s="371"/>
      <c r="X11" s="372"/>
      <c r="Y11" s="372"/>
      <c r="Z11" s="372"/>
      <c r="AA11" s="371"/>
      <c r="AB11" s="371"/>
      <c r="AC11" s="370"/>
      <c r="AD11" s="373">
        <f t="shared" si="0"/>
        <v>68</v>
      </c>
      <c r="AE11" s="372"/>
      <c r="AF11" s="373">
        <f>AD11+AE11</f>
        <v>68</v>
      </c>
    </row>
    <row r="12" spans="1:32" s="367" customFormat="1" ht="20.25" customHeight="1" x14ac:dyDescent="0.2">
      <c r="A12" s="738" t="s">
        <v>510</v>
      </c>
      <c r="B12" s="368">
        <v>40</v>
      </c>
      <c r="C12" s="368">
        <v>0</v>
      </c>
      <c r="D12" s="368">
        <v>0</v>
      </c>
      <c r="E12" s="368">
        <v>0</v>
      </c>
      <c r="F12" s="368">
        <v>0</v>
      </c>
      <c r="G12" s="368">
        <v>0</v>
      </c>
      <c r="H12" s="368">
        <v>0</v>
      </c>
      <c r="I12" s="368">
        <v>17</v>
      </c>
      <c r="J12" s="368">
        <v>0</v>
      </c>
      <c r="K12" s="368">
        <v>0</v>
      </c>
      <c r="L12" s="368">
        <v>21</v>
      </c>
      <c r="M12" s="368">
        <v>0</v>
      </c>
      <c r="N12" s="368">
        <v>0</v>
      </c>
      <c r="O12" s="368">
        <v>0</v>
      </c>
      <c r="P12" s="368">
        <v>0</v>
      </c>
      <c r="Q12" s="368">
        <v>0</v>
      </c>
      <c r="R12" s="368">
        <v>0</v>
      </c>
      <c r="S12" s="368">
        <v>0</v>
      </c>
      <c r="T12" s="368">
        <v>0</v>
      </c>
      <c r="U12" s="368">
        <v>0</v>
      </c>
      <c r="V12" s="368">
        <v>0</v>
      </c>
      <c r="W12" s="368">
        <v>0</v>
      </c>
      <c r="X12" s="368">
        <v>0</v>
      </c>
      <c r="Y12" s="368">
        <v>0</v>
      </c>
      <c r="Z12" s="368">
        <v>0</v>
      </c>
      <c r="AA12" s="368">
        <v>0</v>
      </c>
      <c r="AB12" s="368">
        <v>0</v>
      </c>
      <c r="AC12" s="368">
        <v>0</v>
      </c>
      <c r="AD12" s="368">
        <f t="shared" si="0"/>
        <v>78</v>
      </c>
      <c r="AE12" s="368">
        <v>0</v>
      </c>
      <c r="AF12" s="368">
        <f t="shared" ref="AF12" si="2">AF13+AF14</f>
        <v>78</v>
      </c>
    </row>
    <row r="13" spans="1:32" s="367" customFormat="1" ht="12.75" customHeight="1" x14ac:dyDescent="0.2">
      <c r="A13" s="366">
        <v>6</v>
      </c>
      <c r="B13" s="371">
        <v>40</v>
      </c>
      <c r="C13" s="371"/>
      <c r="D13" s="371"/>
      <c r="E13" s="370"/>
      <c r="F13" s="371"/>
      <c r="G13" s="371"/>
      <c r="H13" s="371"/>
      <c r="I13" s="371">
        <v>17</v>
      </c>
      <c r="J13" s="371"/>
      <c r="K13" s="371"/>
      <c r="L13" s="371">
        <v>21</v>
      </c>
      <c r="M13" s="370"/>
      <c r="N13" s="371"/>
      <c r="O13" s="371"/>
      <c r="P13" s="371"/>
      <c r="Q13" s="371"/>
      <c r="R13" s="371"/>
      <c r="S13" s="371"/>
      <c r="T13" s="370"/>
      <c r="U13" s="371"/>
      <c r="V13" s="371"/>
      <c r="W13" s="371"/>
      <c r="X13" s="372"/>
      <c r="Y13" s="372"/>
      <c r="Z13" s="372"/>
      <c r="AA13" s="371"/>
      <c r="AB13" s="371"/>
      <c r="AC13" s="370"/>
      <c r="AD13" s="373">
        <f t="shared" si="0"/>
        <v>78</v>
      </c>
      <c r="AE13" s="372"/>
      <c r="AF13" s="373">
        <f>AD13+AE13</f>
        <v>78</v>
      </c>
    </row>
    <row r="14" spans="1:32" s="367" customFormat="1" ht="18.75" customHeight="1" x14ac:dyDescent="0.2">
      <c r="A14" s="366">
        <v>7</v>
      </c>
      <c r="B14" s="371"/>
      <c r="C14" s="371"/>
      <c r="D14" s="371"/>
      <c r="E14" s="371"/>
      <c r="F14" s="371"/>
      <c r="G14" s="371"/>
      <c r="H14" s="371"/>
      <c r="I14" s="371"/>
      <c r="J14" s="371"/>
      <c r="K14" s="371"/>
      <c r="L14" s="371">
        <v>0</v>
      </c>
      <c r="M14" s="370"/>
      <c r="N14" s="371"/>
      <c r="O14" s="371"/>
      <c r="P14" s="371"/>
      <c r="Q14" s="371"/>
      <c r="R14" s="371"/>
      <c r="S14" s="371"/>
      <c r="T14" s="370"/>
      <c r="U14" s="371"/>
      <c r="V14" s="371"/>
      <c r="W14" s="371"/>
      <c r="X14" s="372"/>
      <c r="Y14" s="372"/>
      <c r="Z14" s="372"/>
      <c r="AA14" s="371"/>
      <c r="AB14" s="371"/>
      <c r="AC14" s="370"/>
      <c r="AD14" s="373">
        <f t="shared" si="0"/>
        <v>0</v>
      </c>
      <c r="AE14" s="372"/>
      <c r="AF14" s="373">
        <f>AD14+AE14</f>
        <v>0</v>
      </c>
    </row>
    <row r="15" spans="1:32" s="367" customFormat="1" ht="37.5" customHeight="1" x14ac:dyDescent="0.2">
      <c r="A15" s="738" t="s">
        <v>511</v>
      </c>
      <c r="B15" s="368">
        <v>0</v>
      </c>
      <c r="C15" s="368">
        <v>0</v>
      </c>
      <c r="D15" s="368">
        <v>0</v>
      </c>
      <c r="E15" s="368">
        <v>0</v>
      </c>
      <c r="F15" s="368">
        <v>0</v>
      </c>
      <c r="G15" s="368">
        <v>0</v>
      </c>
      <c r="H15" s="368">
        <v>0</v>
      </c>
      <c r="I15" s="368">
        <v>6</v>
      </c>
      <c r="J15" s="368">
        <v>0</v>
      </c>
      <c r="K15" s="368">
        <v>0</v>
      </c>
      <c r="L15" s="368">
        <v>0</v>
      </c>
      <c r="M15" s="368">
        <v>0</v>
      </c>
      <c r="N15" s="368">
        <v>0</v>
      </c>
      <c r="O15" s="368">
        <v>0</v>
      </c>
      <c r="P15" s="368">
        <v>0</v>
      </c>
      <c r="Q15" s="368">
        <v>0</v>
      </c>
      <c r="R15" s="368">
        <v>0</v>
      </c>
      <c r="S15" s="368">
        <v>0</v>
      </c>
      <c r="T15" s="368">
        <v>0</v>
      </c>
      <c r="U15" s="368">
        <v>0</v>
      </c>
      <c r="V15" s="368">
        <v>0</v>
      </c>
      <c r="W15" s="368">
        <v>0</v>
      </c>
      <c r="X15" s="368">
        <v>0</v>
      </c>
      <c r="Y15" s="368">
        <v>0</v>
      </c>
      <c r="Z15" s="368">
        <v>0</v>
      </c>
      <c r="AA15" s="368">
        <v>0</v>
      </c>
      <c r="AB15" s="368">
        <v>0</v>
      </c>
      <c r="AC15" s="368">
        <v>0</v>
      </c>
      <c r="AD15" s="368">
        <f t="shared" si="0"/>
        <v>6</v>
      </c>
      <c r="AE15" s="368">
        <v>0</v>
      </c>
      <c r="AF15" s="368">
        <f t="shared" ref="AF15" si="3">AF16</f>
        <v>6</v>
      </c>
    </row>
    <row r="16" spans="1:32" s="364" customFormat="1" ht="14.25" customHeight="1" x14ac:dyDescent="0.2">
      <c r="A16" s="366">
        <v>8</v>
      </c>
      <c r="B16" s="371"/>
      <c r="C16" s="371"/>
      <c r="D16" s="371"/>
      <c r="E16" s="371"/>
      <c r="F16" s="371"/>
      <c r="G16" s="371"/>
      <c r="H16" s="371"/>
      <c r="I16" s="371">
        <v>6</v>
      </c>
      <c r="J16" s="371"/>
      <c r="K16" s="371"/>
      <c r="L16" s="371"/>
      <c r="M16" s="370"/>
      <c r="N16" s="371"/>
      <c r="O16" s="371"/>
      <c r="P16" s="371"/>
      <c r="Q16" s="371"/>
      <c r="R16" s="371"/>
      <c r="S16" s="371"/>
      <c r="T16" s="370"/>
      <c r="U16" s="371"/>
      <c r="V16" s="371"/>
      <c r="W16" s="370"/>
      <c r="X16" s="376"/>
      <c r="Y16" s="376"/>
      <c r="Z16" s="376"/>
      <c r="AA16" s="371"/>
      <c r="AB16" s="371"/>
      <c r="AC16" s="370"/>
      <c r="AD16" s="373">
        <f t="shared" si="0"/>
        <v>6</v>
      </c>
      <c r="AE16" s="376"/>
      <c r="AF16" s="370">
        <f>AD16+AE16</f>
        <v>6</v>
      </c>
    </row>
    <row r="17" spans="1:32" s="367" customFormat="1" ht="18" customHeight="1" x14ac:dyDescent="0.2">
      <c r="A17" s="738" t="s">
        <v>512</v>
      </c>
      <c r="B17" s="368">
        <v>0</v>
      </c>
      <c r="C17" s="368">
        <v>0</v>
      </c>
      <c r="D17" s="368">
        <v>0</v>
      </c>
      <c r="E17" s="368">
        <v>0</v>
      </c>
      <c r="F17" s="368">
        <v>0</v>
      </c>
      <c r="G17" s="368">
        <v>52</v>
      </c>
      <c r="H17" s="368">
        <v>0</v>
      </c>
      <c r="I17" s="368">
        <v>0</v>
      </c>
      <c r="J17" s="368">
        <v>0</v>
      </c>
      <c r="K17" s="368">
        <v>0</v>
      </c>
      <c r="L17" s="368">
        <v>0</v>
      </c>
      <c r="M17" s="368">
        <v>0</v>
      </c>
      <c r="N17" s="368">
        <v>0</v>
      </c>
      <c r="O17" s="368">
        <v>0</v>
      </c>
      <c r="P17" s="368">
        <v>0</v>
      </c>
      <c r="Q17" s="368">
        <v>0</v>
      </c>
      <c r="R17" s="368">
        <v>0</v>
      </c>
      <c r="S17" s="368">
        <v>0</v>
      </c>
      <c r="T17" s="368">
        <v>0</v>
      </c>
      <c r="U17" s="368">
        <v>0</v>
      </c>
      <c r="V17" s="368">
        <v>0</v>
      </c>
      <c r="W17" s="368">
        <v>0</v>
      </c>
      <c r="X17" s="368">
        <v>0</v>
      </c>
      <c r="Y17" s="368">
        <v>0</v>
      </c>
      <c r="Z17" s="368">
        <v>0</v>
      </c>
      <c r="AA17" s="368">
        <v>0</v>
      </c>
      <c r="AB17" s="368">
        <v>0</v>
      </c>
      <c r="AC17" s="368">
        <v>0</v>
      </c>
      <c r="AD17" s="368">
        <f t="shared" si="0"/>
        <v>52</v>
      </c>
      <c r="AE17" s="368">
        <v>0</v>
      </c>
      <c r="AF17" s="368">
        <f t="shared" ref="AF17" si="4">AF18</f>
        <v>52</v>
      </c>
    </row>
    <row r="18" spans="1:32" s="367" customFormat="1" ht="15.75" customHeight="1" x14ac:dyDescent="0.2">
      <c r="A18" s="366">
        <v>9</v>
      </c>
      <c r="B18" s="371"/>
      <c r="C18" s="371"/>
      <c r="D18" s="371"/>
      <c r="E18" s="371"/>
      <c r="F18" s="371"/>
      <c r="G18" s="371">
        <v>52</v>
      </c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0"/>
      <c r="U18" s="371"/>
      <c r="V18" s="371"/>
      <c r="W18" s="371"/>
      <c r="X18" s="372"/>
      <c r="Y18" s="372"/>
      <c r="Z18" s="372"/>
      <c r="AA18" s="371"/>
      <c r="AB18" s="371"/>
      <c r="AC18" s="370"/>
      <c r="AD18" s="373">
        <f t="shared" si="0"/>
        <v>52</v>
      </c>
      <c r="AE18" s="372"/>
      <c r="AF18" s="373">
        <f>AD18+AE18</f>
        <v>52</v>
      </c>
    </row>
    <row r="19" spans="1:32" s="367" customFormat="1" ht="17.25" customHeight="1" x14ac:dyDescent="0.2">
      <c r="A19" s="738" t="s">
        <v>513</v>
      </c>
      <c r="B19" s="368">
        <v>0</v>
      </c>
      <c r="C19" s="368">
        <v>0</v>
      </c>
      <c r="D19" s="368">
        <v>0</v>
      </c>
      <c r="E19" s="368">
        <v>0</v>
      </c>
      <c r="F19" s="368">
        <v>0</v>
      </c>
      <c r="G19" s="368">
        <v>0</v>
      </c>
      <c r="H19" s="368">
        <v>0</v>
      </c>
      <c r="I19" s="368">
        <v>0</v>
      </c>
      <c r="J19" s="368">
        <v>0</v>
      </c>
      <c r="K19" s="368">
        <v>0</v>
      </c>
      <c r="L19" s="368">
        <v>0</v>
      </c>
      <c r="M19" s="368">
        <v>125</v>
      </c>
      <c r="N19" s="368">
        <v>0</v>
      </c>
      <c r="O19" s="368">
        <v>0</v>
      </c>
      <c r="P19" s="368">
        <v>0</v>
      </c>
      <c r="Q19" s="368">
        <v>0</v>
      </c>
      <c r="R19" s="368">
        <v>27</v>
      </c>
      <c r="S19" s="368">
        <v>0</v>
      </c>
      <c r="T19" s="368">
        <v>0</v>
      </c>
      <c r="U19" s="368">
        <v>0</v>
      </c>
      <c r="V19" s="368">
        <v>0</v>
      </c>
      <c r="W19" s="368">
        <v>0</v>
      </c>
      <c r="X19" s="368">
        <v>0</v>
      </c>
      <c r="Y19" s="368">
        <v>0</v>
      </c>
      <c r="Z19" s="368">
        <v>0</v>
      </c>
      <c r="AA19" s="368">
        <v>0</v>
      </c>
      <c r="AB19" s="368">
        <v>0</v>
      </c>
      <c r="AC19" s="368">
        <v>0</v>
      </c>
      <c r="AD19" s="368">
        <f t="shared" si="0"/>
        <v>152</v>
      </c>
      <c r="AE19" s="368">
        <v>0</v>
      </c>
      <c r="AF19" s="368">
        <f t="shared" ref="AF19" si="5">AF20+AF21</f>
        <v>152</v>
      </c>
    </row>
    <row r="20" spans="1:32" s="367" customFormat="1" ht="14.25" customHeight="1" x14ac:dyDescent="0.2">
      <c r="A20" s="366">
        <v>10</v>
      </c>
      <c r="B20" s="371"/>
      <c r="C20" s="371"/>
      <c r="D20" s="371"/>
      <c r="E20" s="371"/>
      <c r="F20" s="371"/>
      <c r="G20" s="375"/>
      <c r="H20" s="371"/>
      <c r="I20" s="371"/>
      <c r="J20" s="371"/>
      <c r="K20" s="375"/>
      <c r="L20" s="371"/>
      <c r="M20" s="371">
        <v>90</v>
      </c>
      <c r="N20" s="375"/>
      <c r="O20" s="375"/>
      <c r="P20" s="371"/>
      <c r="Q20" s="370"/>
      <c r="R20" s="371">
        <v>27</v>
      </c>
      <c r="S20" s="371"/>
      <c r="T20" s="370"/>
      <c r="U20" s="371"/>
      <c r="V20" s="371"/>
      <c r="W20" s="371"/>
      <c r="X20" s="372"/>
      <c r="Y20" s="372"/>
      <c r="Z20" s="372"/>
      <c r="AA20" s="371"/>
      <c r="AB20" s="371"/>
      <c r="AC20" s="370"/>
      <c r="AD20" s="373">
        <f t="shared" si="0"/>
        <v>117</v>
      </c>
      <c r="AE20" s="372"/>
      <c r="AF20" s="373">
        <f>AD20+AE20</f>
        <v>117</v>
      </c>
    </row>
    <row r="21" spans="1:32" s="367" customFormat="1" ht="14.25" customHeight="1" x14ac:dyDescent="0.2">
      <c r="A21" s="366">
        <v>11</v>
      </c>
      <c r="B21" s="377"/>
      <c r="C21" s="377"/>
      <c r="D21" s="377"/>
      <c r="E21" s="377"/>
      <c r="F21" s="377"/>
      <c r="G21" s="378"/>
      <c r="H21" s="377"/>
      <c r="I21" s="377"/>
      <c r="J21" s="377"/>
      <c r="K21" s="378"/>
      <c r="L21" s="377"/>
      <c r="M21" s="371">
        <v>35</v>
      </c>
      <c r="N21" s="378"/>
      <c r="O21" s="378"/>
      <c r="P21" s="377"/>
      <c r="Q21" s="370"/>
      <c r="R21" s="378"/>
      <c r="S21" s="377"/>
      <c r="T21" s="370"/>
      <c r="U21" s="371"/>
      <c r="V21" s="371"/>
      <c r="W21" s="371"/>
      <c r="X21" s="372"/>
      <c r="Y21" s="372"/>
      <c r="Z21" s="372"/>
      <c r="AA21" s="371"/>
      <c r="AB21" s="371"/>
      <c r="AC21" s="370"/>
      <c r="AD21" s="373">
        <f t="shared" si="0"/>
        <v>35</v>
      </c>
      <c r="AE21" s="372"/>
      <c r="AF21" s="373">
        <f>AD21+AE21</f>
        <v>35</v>
      </c>
    </row>
    <row r="22" spans="1:32" s="364" customFormat="1" ht="21" customHeight="1" x14ac:dyDescent="0.2">
      <c r="A22" s="738" t="s">
        <v>514</v>
      </c>
      <c r="B22" s="368">
        <v>310</v>
      </c>
      <c r="C22" s="368">
        <v>215</v>
      </c>
      <c r="D22" s="368">
        <v>0</v>
      </c>
      <c r="E22" s="368">
        <v>0</v>
      </c>
      <c r="F22" s="368">
        <v>0</v>
      </c>
      <c r="G22" s="368">
        <v>0</v>
      </c>
      <c r="H22" s="368">
        <v>0</v>
      </c>
      <c r="I22" s="368">
        <v>137</v>
      </c>
      <c r="J22" s="368">
        <v>20</v>
      </c>
      <c r="K22" s="368">
        <v>0</v>
      </c>
      <c r="L22" s="368">
        <v>0</v>
      </c>
      <c r="M22" s="368">
        <v>0</v>
      </c>
      <c r="N22" s="368">
        <v>120</v>
      </c>
      <c r="O22" s="368">
        <v>0</v>
      </c>
      <c r="P22" s="368">
        <v>15</v>
      </c>
      <c r="Q22" s="368">
        <v>0</v>
      </c>
      <c r="R22" s="368">
        <v>158</v>
      </c>
      <c r="S22" s="368">
        <v>23</v>
      </c>
      <c r="T22" s="368">
        <v>0</v>
      </c>
      <c r="U22" s="368">
        <v>0</v>
      </c>
      <c r="V22" s="368">
        <v>0</v>
      </c>
      <c r="W22" s="368">
        <v>0</v>
      </c>
      <c r="X22" s="368">
        <v>0</v>
      </c>
      <c r="Y22" s="368">
        <v>0</v>
      </c>
      <c r="Z22" s="368">
        <v>0</v>
      </c>
      <c r="AA22" s="368">
        <v>0</v>
      </c>
      <c r="AB22" s="368">
        <v>0</v>
      </c>
      <c r="AC22" s="368">
        <v>0</v>
      </c>
      <c r="AD22" s="368">
        <f t="shared" si="0"/>
        <v>998</v>
      </c>
      <c r="AE22" s="368">
        <v>0</v>
      </c>
      <c r="AF22" s="368">
        <f t="shared" ref="AF22" si="6">SUM(AF23:AF28)</f>
        <v>998</v>
      </c>
    </row>
    <row r="23" spans="1:32" s="367" customFormat="1" ht="14.25" customHeight="1" x14ac:dyDescent="0.2">
      <c r="A23" s="366">
        <v>12</v>
      </c>
      <c r="B23" s="370">
        <v>278</v>
      </c>
      <c r="C23" s="370">
        <v>203</v>
      </c>
      <c r="D23" s="370"/>
      <c r="E23" s="370"/>
      <c r="F23" s="370"/>
      <c r="G23" s="370"/>
      <c r="H23" s="370"/>
      <c r="I23" s="370">
        <v>85</v>
      </c>
      <c r="J23" s="379">
        <v>4</v>
      </c>
      <c r="K23" s="370"/>
      <c r="L23" s="370"/>
      <c r="M23" s="371"/>
      <c r="N23" s="370">
        <v>104</v>
      </c>
      <c r="O23" s="370"/>
      <c r="P23" s="370">
        <v>7</v>
      </c>
      <c r="Q23" s="370"/>
      <c r="R23" s="370">
        <v>140</v>
      </c>
      <c r="S23" s="371">
        <v>2</v>
      </c>
      <c r="T23" s="371"/>
      <c r="U23" s="371"/>
      <c r="V23" s="371"/>
      <c r="W23" s="371"/>
      <c r="X23" s="372"/>
      <c r="Y23" s="372"/>
      <c r="Z23" s="372"/>
      <c r="AA23" s="371"/>
      <c r="AB23" s="371"/>
      <c r="AC23" s="370"/>
      <c r="AD23" s="373">
        <f t="shared" si="0"/>
        <v>823</v>
      </c>
      <c r="AE23" s="372"/>
      <c r="AF23" s="373">
        <f t="shared" ref="AF23:AF28" si="7">AD23+AE23</f>
        <v>823</v>
      </c>
    </row>
    <row r="24" spans="1:32" s="367" customFormat="1" ht="14.25" customHeight="1" x14ac:dyDescent="0.2">
      <c r="A24" s="366">
        <v>13</v>
      </c>
      <c r="B24" s="370"/>
      <c r="C24" s="370"/>
      <c r="D24" s="370"/>
      <c r="E24" s="370"/>
      <c r="F24" s="370"/>
      <c r="G24" s="380"/>
      <c r="H24" s="370"/>
      <c r="I24" s="370"/>
      <c r="J24" s="379"/>
      <c r="K24" s="380"/>
      <c r="L24" s="370"/>
      <c r="M24" s="371"/>
      <c r="N24" s="380"/>
      <c r="O24" s="380"/>
      <c r="P24" s="370"/>
      <c r="Q24" s="370"/>
      <c r="R24" s="370"/>
      <c r="S24" s="371"/>
      <c r="T24" s="371"/>
      <c r="U24" s="371"/>
      <c r="V24" s="371"/>
      <c r="W24" s="371"/>
      <c r="X24" s="372"/>
      <c r="Y24" s="372"/>
      <c r="Z24" s="372"/>
      <c r="AA24" s="371"/>
      <c r="AB24" s="371"/>
      <c r="AC24" s="370"/>
      <c r="AD24" s="373">
        <f t="shared" si="0"/>
        <v>0</v>
      </c>
      <c r="AE24" s="372"/>
      <c r="AF24" s="373">
        <f t="shared" si="7"/>
        <v>0</v>
      </c>
    </row>
    <row r="25" spans="1:32" s="367" customFormat="1" ht="14.25" customHeight="1" x14ac:dyDescent="0.2">
      <c r="A25" s="366">
        <v>14</v>
      </c>
      <c r="B25" s="371">
        <v>7</v>
      </c>
      <c r="C25" s="371">
        <v>3</v>
      </c>
      <c r="D25" s="371"/>
      <c r="E25" s="371"/>
      <c r="F25" s="371"/>
      <c r="G25" s="375"/>
      <c r="H25" s="371"/>
      <c r="I25" s="371"/>
      <c r="J25" s="379"/>
      <c r="K25" s="375"/>
      <c r="L25" s="371"/>
      <c r="M25" s="371"/>
      <c r="N25" s="371">
        <v>6</v>
      </c>
      <c r="O25" s="375"/>
      <c r="P25" s="371"/>
      <c r="Q25" s="371"/>
      <c r="R25" s="371">
        <v>10</v>
      </c>
      <c r="S25" s="371"/>
      <c r="T25" s="371"/>
      <c r="U25" s="371"/>
      <c r="V25" s="371"/>
      <c r="W25" s="371"/>
      <c r="X25" s="372"/>
      <c r="Y25" s="372"/>
      <c r="Z25" s="372"/>
      <c r="AA25" s="371"/>
      <c r="AB25" s="371"/>
      <c r="AC25" s="370"/>
      <c r="AD25" s="373">
        <f t="shared" si="0"/>
        <v>26</v>
      </c>
      <c r="AE25" s="372"/>
      <c r="AF25" s="373">
        <f t="shared" si="7"/>
        <v>26</v>
      </c>
    </row>
    <row r="26" spans="1:32" s="367" customFormat="1" ht="12.75" customHeight="1" x14ac:dyDescent="0.2">
      <c r="A26" s="366">
        <v>15</v>
      </c>
      <c r="B26" s="377"/>
      <c r="C26" s="377"/>
      <c r="D26" s="377"/>
      <c r="E26" s="377"/>
      <c r="F26" s="377"/>
      <c r="G26" s="378"/>
      <c r="H26" s="377"/>
      <c r="I26" s="377">
        <v>52</v>
      </c>
      <c r="J26" s="379">
        <v>16</v>
      </c>
      <c r="K26" s="378"/>
      <c r="L26" s="377"/>
      <c r="M26" s="371"/>
      <c r="N26" s="378"/>
      <c r="O26" s="378"/>
      <c r="P26" s="371"/>
      <c r="Q26" s="377"/>
      <c r="R26" s="377"/>
      <c r="S26" s="371"/>
      <c r="T26" s="371"/>
      <c r="U26" s="371"/>
      <c r="V26" s="371"/>
      <c r="W26" s="371"/>
      <c r="X26" s="372"/>
      <c r="Y26" s="372"/>
      <c r="Z26" s="372"/>
      <c r="AA26" s="371"/>
      <c r="AB26" s="371"/>
      <c r="AC26" s="370"/>
      <c r="AD26" s="373">
        <f t="shared" si="0"/>
        <v>68</v>
      </c>
      <c r="AE26" s="372"/>
      <c r="AF26" s="373">
        <f t="shared" si="7"/>
        <v>68</v>
      </c>
    </row>
    <row r="27" spans="1:32" s="367" customFormat="1" ht="14.25" customHeight="1" x14ac:dyDescent="0.2">
      <c r="A27" s="366">
        <v>16</v>
      </c>
      <c r="B27" s="371">
        <v>20</v>
      </c>
      <c r="C27" s="371"/>
      <c r="D27" s="371"/>
      <c r="E27" s="371"/>
      <c r="F27" s="371"/>
      <c r="G27" s="375"/>
      <c r="H27" s="371"/>
      <c r="I27" s="371"/>
      <c r="J27" s="379"/>
      <c r="K27" s="375"/>
      <c r="L27" s="371"/>
      <c r="M27" s="371"/>
      <c r="N27" s="375"/>
      <c r="O27" s="375"/>
      <c r="P27" s="371">
        <v>8</v>
      </c>
      <c r="Q27" s="371"/>
      <c r="R27" s="371">
        <v>8</v>
      </c>
      <c r="S27" s="371">
        <v>21</v>
      </c>
      <c r="T27" s="371"/>
      <c r="U27" s="371"/>
      <c r="V27" s="371"/>
      <c r="W27" s="371"/>
      <c r="X27" s="372"/>
      <c r="Y27" s="372"/>
      <c r="Z27" s="372"/>
      <c r="AA27" s="371"/>
      <c r="AB27" s="371"/>
      <c r="AC27" s="370"/>
      <c r="AD27" s="373">
        <f t="shared" si="0"/>
        <v>57</v>
      </c>
      <c r="AE27" s="372"/>
      <c r="AF27" s="373">
        <f t="shared" si="7"/>
        <v>57</v>
      </c>
    </row>
    <row r="28" spans="1:32" s="367" customFormat="1" ht="14.25" customHeight="1" x14ac:dyDescent="0.2">
      <c r="A28" s="366">
        <v>17</v>
      </c>
      <c r="B28" s="377">
        <v>5</v>
      </c>
      <c r="C28" s="377">
        <v>9</v>
      </c>
      <c r="D28" s="377"/>
      <c r="E28" s="377"/>
      <c r="F28" s="377"/>
      <c r="G28" s="378"/>
      <c r="H28" s="377"/>
      <c r="I28" s="381"/>
      <c r="J28" s="379"/>
      <c r="K28" s="378"/>
      <c r="L28" s="377"/>
      <c r="M28" s="377"/>
      <c r="N28" s="377">
        <v>10</v>
      </c>
      <c r="O28" s="378"/>
      <c r="P28" s="377"/>
      <c r="Q28" s="377"/>
      <c r="R28" s="378"/>
      <c r="S28" s="371"/>
      <c r="T28" s="371"/>
      <c r="U28" s="371"/>
      <c r="V28" s="371"/>
      <c r="W28" s="371"/>
      <c r="X28" s="372"/>
      <c r="Y28" s="372"/>
      <c r="Z28" s="372"/>
      <c r="AA28" s="371"/>
      <c r="AB28" s="371"/>
      <c r="AC28" s="370"/>
      <c r="AD28" s="373">
        <f t="shared" si="0"/>
        <v>24</v>
      </c>
      <c r="AE28" s="372"/>
      <c r="AF28" s="373">
        <f t="shared" si="7"/>
        <v>24</v>
      </c>
    </row>
    <row r="29" spans="1:32" s="364" customFormat="1" ht="18.75" customHeight="1" x14ac:dyDescent="0.2">
      <c r="A29" s="738" t="s">
        <v>515</v>
      </c>
      <c r="B29" s="368">
        <v>155</v>
      </c>
      <c r="C29" s="368">
        <v>0</v>
      </c>
      <c r="D29" s="368">
        <v>620</v>
      </c>
      <c r="E29" s="368">
        <v>0</v>
      </c>
      <c r="F29" s="368">
        <v>0</v>
      </c>
      <c r="G29" s="368">
        <v>0</v>
      </c>
      <c r="H29" s="368">
        <v>0</v>
      </c>
      <c r="I29" s="368">
        <v>215</v>
      </c>
      <c r="J29" s="368">
        <v>69</v>
      </c>
      <c r="K29" s="368">
        <v>0</v>
      </c>
      <c r="L29" s="368">
        <v>0</v>
      </c>
      <c r="M29" s="368">
        <v>0</v>
      </c>
      <c r="N29" s="368">
        <v>0</v>
      </c>
      <c r="O29" s="368">
        <v>80</v>
      </c>
      <c r="P29" s="368">
        <v>0</v>
      </c>
      <c r="Q29" s="368">
        <v>0</v>
      </c>
      <c r="R29" s="368">
        <v>0</v>
      </c>
      <c r="S29" s="368">
        <v>0</v>
      </c>
      <c r="T29" s="368">
        <v>0</v>
      </c>
      <c r="U29" s="368">
        <v>0</v>
      </c>
      <c r="V29" s="368">
        <v>0</v>
      </c>
      <c r="W29" s="368">
        <v>0</v>
      </c>
      <c r="X29" s="368">
        <v>0</v>
      </c>
      <c r="Y29" s="368">
        <v>0</v>
      </c>
      <c r="Z29" s="368">
        <v>0</v>
      </c>
      <c r="AA29" s="368">
        <v>0</v>
      </c>
      <c r="AB29" s="368">
        <v>0</v>
      </c>
      <c r="AC29" s="368">
        <v>0</v>
      </c>
      <c r="AD29" s="368">
        <f t="shared" si="0"/>
        <v>1139</v>
      </c>
      <c r="AE29" s="368">
        <v>0</v>
      </c>
      <c r="AF29" s="368">
        <f t="shared" ref="AF29" si="8">SUM(AF30:AF31)</f>
        <v>1139</v>
      </c>
    </row>
    <row r="30" spans="1:32" s="367" customFormat="1" ht="14.25" customHeight="1" x14ac:dyDescent="0.2">
      <c r="A30" s="366">
        <v>18</v>
      </c>
      <c r="B30" s="370">
        <v>120</v>
      </c>
      <c r="C30" s="370"/>
      <c r="D30" s="370">
        <v>565</v>
      </c>
      <c r="E30" s="382"/>
      <c r="F30" s="370"/>
      <c r="G30" s="370"/>
      <c r="H30" s="370"/>
      <c r="I30" s="370">
        <v>190</v>
      </c>
      <c r="J30" s="370">
        <v>9</v>
      </c>
      <c r="K30" s="370"/>
      <c r="L30" s="370"/>
      <c r="M30" s="370"/>
      <c r="N30" s="370"/>
      <c r="O30" s="370">
        <v>75</v>
      </c>
      <c r="P30" s="370"/>
      <c r="Q30" s="370"/>
      <c r="R30" s="370"/>
      <c r="S30" s="370"/>
      <c r="T30" s="370"/>
      <c r="U30" s="370"/>
      <c r="V30" s="370"/>
      <c r="W30" s="370"/>
      <c r="X30" s="372"/>
      <c r="Y30" s="372"/>
      <c r="Z30" s="372"/>
      <c r="AA30" s="370"/>
      <c r="AB30" s="370"/>
      <c r="AC30" s="370"/>
      <c r="AD30" s="373">
        <f t="shared" si="0"/>
        <v>959</v>
      </c>
      <c r="AE30" s="372"/>
      <c r="AF30" s="373">
        <f>AD30+AE30</f>
        <v>959</v>
      </c>
    </row>
    <row r="31" spans="1:32" s="367" customFormat="1" ht="14.25" customHeight="1" x14ac:dyDescent="0.2">
      <c r="A31" s="366">
        <v>19</v>
      </c>
      <c r="B31" s="370">
        <v>35</v>
      </c>
      <c r="C31" s="370"/>
      <c r="D31" s="370">
        <v>55</v>
      </c>
      <c r="E31" s="370"/>
      <c r="F31" s="370"/>
      <c r="G31" s="370"/>
      <c r="H31" s="370"/>
      <c r="I31" s="370">
        <v>25</v>
      </c>
      <c r="J31" s="370">
        <v>60</v>
      </c>
      <c r="K31" s="370"/>
      <c r="L31" s="370"/>
      <c r="M31" s="370"/>
      <c r="N31" s="370"/>
      <c r="O31" s="370">
        <v>5</v>
      </c>
      <c r="P31" s="370"/>
      <c r="Q31" s="370"/>
      <c r="R31" s="370"/>
      <c r="S31" s="370"/>
      <c r="T31" s="370"/>
      <c r="U31" s="370"/>
      <c r="V31" s="370"/>
      <c r="W31" s="370"/>
      <c r="X31" s="372"/>
      <c r="Y31" s="372"/>
      <c r="Z31" s="372"/>
      <c r="AA31" s="370"/>
      <c r="AB31" s="370"/>
      <c r="AC31" s="370"/>
      <c r="AD31" s="373">
        <f t="shared" si="0"/>
        <v>180</v>
      </c>
      <c r="AE31" s="372"/>
      <c r="AF31" s="373">
        <f>AD31+AE31</f>
        <v>180</v>
      </c>
    </row>
    <row r="32" spans="1:32" s="364" customFormat="1" ht="18.75" customHeight="1" x14ac:dyDescent="0.2">
      <c r="A32" s="738" t="s">
        <v>516</v>
      </c>
      <c r="B32" s="368">
        <v>250</v>
      </c>
      <c r="C32" s="368">
        <v>0</v>
      </c>
      <c r="D32" s="368">
        <v>0</v>
      </c>
      <c r="E32" s="368">
        <v>0</v>
      </c>
      <c r="F32" s="368">
        <v>1773</v>
      </c>
      <c r="G32" s="368">
        <v>0</v>
      </c>
      <c r="H32" s="368">
        <v>0</v>
      </c>
      <c r="I32" s="368">
        <v>107</v>
      </c>
      <c r="J32" s="368">
        <v>0</v>
      </c>
      <c r="K32" s="368">
        <v>0</v>
      </c>
      <c r="L32" s="368">
        <v>0</v>
      </c>
      <c r="M32" s="368">
        <v>0</v>
      </c>
      <c r="N32" s="368">
        <v>0</v>
      </c>
      <c r="O32" s="368">
        <v>0</v>
      </c>
      <c r="P32" s="368">
        <v>0</v>
      </c>
      <c r="Q32" s="368">
        <v>0</v>
      </c>
      <c r="R32" s="368">
        <v>178</v>
      </c>
      <c r="S32" s="368">
        <v>0</v>
      </c>
      <c r="T32" s="368">
        <v>0</v>
      </c>
      <c r="U32" s="368">
        <v>0</v>
      </c>
      <c r="V32" s="368">
        <v>0</v>
      </c>
      <c r="W32" s="368">
        <v>0</v>
      </c>
      <c r="X32" s="368">
        <v>0</v>
      </c>
      <c r="Y32" s="368">
        <v>0</v>
      </c>
      <c r="Z32" s="368">
        <v>0</v>
      </c>
      <c r="AA32" s="368">
        <v>0</v>
      </c>
      <c r="AB32" s="368">
        <v>0</v>
      </c>
      <c r="AC32" s="368">
        <v>0</v>
      </c>
      <c r="AD32" s="368">
        <f t="shared" si="0"/>
        <v>2308</v>
      </c>
      <c r="AE32" s="368">
        <v>0</v>
      </c>
      <c r="AF32" s="368">
        <f t="shared" ref="AF32" si="9">SUM(AF33:AF39)</f>
        <v>2308</v>
      </c>
    </row>
    <row r="33" spans="1:32" s="367" customFormat="1" ht="14.25" customHeight="1" x14ac:dyDescent="0.2">
      <c r="A33" s="366">
        <v>20</v>
      </c>
      <c r="B33" s="371">
        <v>100</v>
      </c>
      <c r="C33" s="371"/>
      <c r="D33" s="371"/>
      <c r="E33" s="371"/>
      <c r="F33" s="371">
        <v>1300</v>
      </c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>
        <v>178</v>
      </c>
      <c r="S33" s="371"/>
      <c r="T33" s="371"/>
      <c r="U33" s="371"/>
      <c r="V33" s="371"/>
      <c r="W33" s="371"/>
      <c r="X33" s="372"/>
      <c r="Y33" s="372"/>
      <c r="Z33" s="372"/>
      <c r="AA33" s="371"/>
      <c r="AB33" s="371"/>
      <c r="AC33" s="370"/>
      <c r="AD33" s="373">
        <f t="shared" si="0"/>
        <v>1578</v>
      </c>
      <c r="AE33" s="372"/>
      <c r="AF33" s="373">
        <f t="shared" ref="AF33:AF39" si="10">AD33+AE33</f>
        <v>1578</v>
      </c>
    </row>
    <row r="34" spans="1:32" s="367" customFormat="1" ht="14.25" customHeight="1" x14ac:dyDescent="0.2">
      <c r="A34" s="366">
        <v>21</v>
      </c>
      <c r="B34" s="371"/>
      <c r="C34" s="371"/>
      <c r="D34" s="371"/>
      <c r="E34" s="371"/>
      <c r="F34" s="371"/>
      <c r="G34" s="371"/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371"/>
      <c r="V34" s="371"/>
      <c r="W34" s="371"/>
      <c r="X34" s="372"/>
      <c r="Y34" s="372"/>
      <c r="Z34" s="372"/>
      <c r="AA34" s="371"/>
      <c r="AB34" s="371"/>
      <c r="AC34" s="370"/>
      <c r="AD34" s="373">
        <f t="shared" si="0"/>
        <v>0</v>
      </c>
      <c r="AE34" s="372"/>
      <c r="AF34" s="373">
        <f t="shared" si="10"/>
        <v>0</v>
      </c>
    </row>
    <row r="35" spans="1:32" s="367" customFormat="1" ht="14.25" customHeight="1" x14ac:dyDescent="0.2">
      <c r="A35" s="366">
        <v>22</v>
      </c>
      <c r="B35" s="371"/>
      <c r="C35" s="371"/>
      <c r="D35" s="371"/>
      <c r="E35" s="371"/>
      <c r="F35" s="371"/>
      <c r="G35" s="375"/>
      <c r="H35" s="371"/>
      <c r="I35" s="371">
        <v>107</v>
      </c>
      <c r="J35" s="371"/>
      <c r="K35" s="371"/>
      <c r="L35" s="371"/>
      <c r="M35" s="371"/>
      <c r="N35" s="375"/>
      <c r="O35" s="375"/>
      <c r="P35" s="371"/>
      <c r="Q35" s="371"/>
      <c r="R35" s="375"/>
      <c r="S35" s="371"/>
      <c r="T35" s="371"/>
      <c r="U35" s="371"/>
      <c r="V35" s="371"/>
      <c r="W35" s="371"/>
      <c r="X35" s="372"/>
      <c r="Y35" s="372"/>
      <c r="Z35" s="372"/>
      <c r="AA35" s="371"/>
      <c r="AB35" s="371"/>
      <c r="AC35" s="370"/>
      <c r="AD35" s="373">
        <f t="shared" si="0"/>
        <v>107</v>
      </c>
      <c r="AE35" s="372"/>
      <c r="AF35" s="373">
        <f t="shared" si="10"/>
        <v>107</v>
      </c>
    </row>
    <row r="36" spans="1:32" s="367" customFormat="1" ht="14.25" customHeight="1" x14ac:dyDescent="0.2">
      <c r="A36" s="366">
        <v>23</v>
      </c>
      <c r="B36" s="371">
        <v>150</v>
      </c>
      <c r="C36" s="371"/>
      <c r="D36" s="371"/>
      <c r="E36" s="371"/>
      <c r="F36" s="371">
        <v>250</v>
      </c>
      <c r="G36" s="375"/>
      <c r="H36" s="371"/>
      <c r="I36" s="371"/>
      <c r="J36" s="371"/>
      <c r="K36" s="371"/>
      <c r="L36" s="371"/>
      <c r="M36" s="371"/>
      <c r="N36" s="375"/>
      <c r="O36" s="375"/>
      <c r="P36" s="371"/>
      <c r="Q36" s="371"/>
      <c r="R36" s="375"/>
      <c r="S36" s="371"/>
      <c r="T36" s="371"/>
      <c r="U36" s="371"/>
      <c r="V36" s="371"/>
      <c r="W36" s="371"/>
      <c r="X36" s="372"/>
      <c r="Y36" s="372"/>
      <c r="Z36" s="372"/>
      <c r="AA36" s="371"/>
      <c r="AB36" s="371"/>
      <c r="AC36" s="370"/>
      <c r="AD36" s="373">
        <f t="shared" si="0"/>
        <v>400</v>
      </c>
      <c r="AE36" s="372"/>
      <c r="AF36" s="373">
        <f t="shared" si="10"/>
        <v>400</v>
      </c>
    </row>
    <row r="37" spans="1:32" s="367" customFormat="1" ht="14.25" customHeight="1" x14ac:dyDescent="0.2">
      <c r="A37" s="366">
        <v>24</v>
      </c>
      <c r="B37" s="371"/>
      <c r="C37" s="371"/>
      <c r="D37" s="371"/>
      <c r="E37" s="371"/>
      <c r="F37" s="371">
        <v>29</v>
      </c>
      <c r="G37" s="375"/>
      <c r="H37" s="371"/>
      <c r="I37" s="371"/>
      <c r="J37" s="371"/>
      <c r="K37" s="371"/>
      <c r="L37" s="371"/>
      <c r="M37" s="371"/>
      <c r="N37" s="375"/>
      <c r="O37" s="375"/>
      <c r="P37" s="371"/>
      <c r="Q37" s="371"/>
      <c r="R37" s="375"/>
      <c r="S37" s="371"/>
      <c r="T37" s="371"/>
      <c r="U37" s="371"/>
      <c r="V37" s="371"/>
      <c r="W37" s="371"/>
      <c r="X37" s="372"/>
      <c r="Y37" s="372"/>
      <c r="Z37" s="372"/>
      <c r="AA37" s="371"/>
      <c r="AB37" s="371"/>
      <c r="AC37" s="370"/>
      <c r="AD37" s="373">
        <f t="shared" si="0"/>
        <v>29</v>
      </c>
      <c r="AE37" s="372"/>
      <c r="AF37" s="373">
        <f t="shared" si="10"/>
        <v>29</v>
      </c>
    </row>
    <row r="38" spans="1:32" s="367" customFormat="1" ht="14.25" customHeight="1" x14ac:dyDescent="0.2">
      <c r="A38" s="366">
        <v>25</v>
      </c>
      <c r="B38" s="371"/>
      <c r="C38" s="371"/>
      <c r="D38" s="371"/>
      <c r="E38" s="371"/>
      <c r="F38" s="371">
        <v>194</v>
      </c>
      <c r="G38" s="375"/>
      <c r="H38" s="371"/>
      <c r="I38" s="371"/>
      <c r="J38" s="371"/>
      <c r="K38" s="371"/>
      <c r="L38" s="371"/>
      <c r="M38" s="371"/>
      <c r="N38" s="375"/>
      <c r="O38" s="375"/>
      <c r="P38" s="371"/>
      <c r="Q38" s="371"/>
      <c r="R38" s="375"/>
      <c r="S38" s="371"/>
      <c r="T38" s="371"/>
      <c r="U38" s="371"/>
      <c r="V38" s="371"/>
      <c r="W38" s="371"/>
      <c r="X38" s="372"/>
      <c r="Y38" s="372"/>
      <c r="Z38" s="372"/>
      <c r="AA38" s="371"/>
      <c r="AB38" s="371"/>
      <c r="AC38" s="370"/>
      <c r="AD38" s="373">
        <f t="shared" si="0"/>
        <v>194</v>
      </c>
      <c r="AE38" s="372"/>
      <c r="AF38" s="373">
        <f t="shared" si="10"/>
        <v>194</v>
      </c>
    </row>
    <row r="39" spans="1:32" s="367" customFormat="1" ht="14.25" customHeight="1" x14ac:dyDescent="0.2">
      <c r="A39" s="366">
        <v>26</v>
      </c>
      <c r="B39" s="371"/>
      <c r="C39" s="371"/>
      <c r="D39" s="371"/>
      <c r="E39" s="371"/>
      <c r="F39" s="371"/>
      <c r="G39" s="375"/>
      <c r="H39" s="371"/>
      <c r="I39" s="371"/>
      <c r="J39" s="371"/>
      <c r="K39" s="371"/>
      <c r="L39" s="371"/>
      <c r="M39" s="371"/>
      <c r="N39" s="375"/>
      <c r="O39" s="375"/>
      <c r="P39" s="371"/>
      <c r="Q39" s="371"/>
      <c r="R39" s="375"/>
      <c r="S39" s="371"/>
      <c r="T39" s="371"/>
      <c r="U39" s="371"/>
      <c r="V39" s="371"/>
      <c r="W39" s="371"/>
      <c r="X39" s="372"/>
      <c r="Y39" s="372"/>
      <c r="Z39" s="372"/>
      <c r="AA39" s="371"/>
      <c r="AB39" s="371"/>
      <c r="AC39" s="370"/>
      <c r="AD39" s="373">
        <f t="shared" si="0"/>
        <v>0</v>
      </c>
      <c r="AE39" s="372"/>
      <c r="AF39" s="373">
        <f t="shared" si="10"/>
        <v>0</v>
      </c>
    </row>
    <row r="40" spans="1:32" s="364" customFormat="1" ht="19.5" customHeight="1" x14ac:dyDescent="0.2">
      <c r="A40" s="740" t="s">
        <v>517</v>
      </c>
      <c r="B40" s="368">
        <v>170</v>
      </c>
      <c r="C40" s="368">
        <v>4</v>
      </c>
      <c r="D40" s="368">
        <v>0</v>
      </c>
      <c r="E40" s="368">
        <v>0</v>
      </c>
      <c r="F40" s="368">
        <v>0</v>
      </c>
      <c r="G40" s="368">
        <v>0</v>
      </c>
      <c r="H40" s="368">
        <v>0</v>
      </c>
      <c r="I40" s="368">
        <v>69</v>
      </c>
      <c r="J40" s="368">
        <v>0</v>
      </c>
      <c r="K40" s="368">
        <v>0</v>
      </c>
      <c r="L40" s="368">
        <v>100</v>
      </c>
      <c r="M40" s="368">
        <v>0</v>
      </c>
      <c r="N40" s="368">
        <v>80</v>
      </c>
      <c r="O40" s="368">
        <v>0</v>
      </c>
      <c r="P40" s="368">
        <v>0</v>
      </c>
      <c r="Q40" s="368">
        <v>0</v>
      </c>
      <c r="R40" s="368">
        <v>0</v>
      </c>
      <c r="S40" s="368">
        <v>0</v>
      </c>
      <c r="T40" s="368">
        <v>0</v>
      </c>
      <c r="U40" s="368">
        <v>0</v>
      </c>
      <c r="V40" s="368">
        <v>0</v>
      </c>
      <c r="W40" s="368">
        <v>0</v>
      </c>
      <c r="X40" s="368">
        <v>0</v>
      </c>
      <c r="Y40" s="368">
        <v>0</v>
      </c>
      <c r="Z40" s="368">
        <v>0</v>
      </c>
      <c r="AA40" s="368">
        <v>13</v>
      </c>
      <c r="AB40" s="368">
        <v>0</v>
      </c>
      <c r="AC40" s="368">
        <v>4</v>
      </c>
      <c r="AD40" s="368">
        <f t="shared" si="0"/>
        <v>440</v>
      </c>
      <c r="AE40" s="368">
        <v>0</v>
      </c>
      <c r="AF40" s="368">
        <f t="shared" ref="AF40" si="11">AF41+AF42+AF43</f>
        <v>440</v>
      </c>
    </row>
    <row r="41" spans="1:32" s="367" customFormat="1" ht="15" customHeight="1" x14ac:dyDescent="0.2">
      <c r="A41" s="366">
        <v>27</v>
      </c>
      <c r="B41" s="371">
        <v>145</v>
      </c>
      <c r="C41" s="371"/>
      <c r="D41" s="371"/>
      <c r="E41" s="371"/>
      <c r="F41" s="371"/>
      <c r="G41" s="371"/>
      <c r="H41" s="371"/>
      <c r="I41" s="371">
        <v>29</v>
      </c>
      <c r="J41" s="371"/>
      <c r="K41" s="371"/>
      <c r="L41" s="371">
        <v>50</v>
      </c>
      <c r="M41" s="371"/>
      <c r="N41" s="371">
        <v>25</v>
      </c>
      <c r="O41" s="371"/>
      <c r="P41" s="371"/>
      <c r="Q41" s="371"/>
      <c r="R41" s="371"/>
      <c r="S41" s="371"/>
      <c r="T41" s="371"/>
      <c r="U41" s="371"/>
      <c r="V41" s="371"/>
      <c r="W41" s="371"/>
      <c r="X41" s="372"/>
      <c r="Y41" s="372"/>
      <c r="Z41" s="372"/>
      <c r="AA41" s="371">
        <v>9</v>
      </c>
      <c r="AB41" s="371"/>
      <c r="AC41" s="370"/>
      <c r="AD41" s="373">
        <f t="shared" si="0"/>
        <v>258</v>
      </c>
      <c r="AE41" s="372"/>
      <c r="AF41" s="373">
        <f>AD41+AE41</f>
        <v>258</v>
      </c>
    </row>
    <row r="42" spans="1:32" s="367" customFormat="1" ht="15" customHeight="1" x14ac:dyDescent="0.2">
      <c r="A42" s="366">
        <v>28</v>
      </c>
      <c r="B42" s="371">
        <v>15</v>
      </c>
      <c r="C42" s="371">
        <v>4</v>
      </c>
      <c r="D42" s="371"/>
      <c r="E42" s="371"/>
      <c r="F42" s="371"/>
      <c r="G42" s="371"/>
      <c r="H42" s="371"/>
      <c r="I42" s="371">
        <v>31</v>
      </c>
      <c r="J42" s="379"/>
      <c r="K42" s="371"/>
      <c r="L42" s="371">
        <v>50</v>
      </c>
      <c r="M42" s="371"/>
      <c r="N42" s="371">
        <v>55</v>
      </c>
      <c r="O42" s="371"/>
      <c r="P42" s="371"/>
      <c r="Q42" s="371"/>
      <c r="R42" s="371"/>
      <c r="S42" s="371"/>
      <c r="T42" s="371"/>
      <c r="U42" s="371"/>
      <c r="V42" s="371"/>
      <c r="W42" s="371"/>
      <c r="X42" s="372"/>
      <c r="Y42" s="372"/>
      <c r="Z42" s="372"/>
      <c r="AA42" s="371">
        <v>2</v>
      </c>
      <c r="AB42" s="371"/>
      <c r="AC42" s="370">
        <v>4</v>
      </c>
      <c r="AD42" s="373">
        <f t="shared" si="0"/>
        <v>161</v>
      </c>
      <c r="AE42" s="372"/>
      <c r="AF42" s="373">
        <f>AD42+AE42</f>
        <v>161</v>
      </c>
    </row>
    <row r="43" spans="1:32" s="367" customFormat="1" ht="15" customHeight="1" x14ac:dyDescent="0.2">
      <c r="A43" s="741">
        <v>29</v>
      </c>
      <c r="B43" s="371">
        <v>10</v>
      </c>
      <c r="C43" s="371"/>
      <c r="D43" s="371"/>
      <c r="E43" s="371"/>
      <c r="F43" s="371"/>
      <c r="G43" s="371"/>
      <c r="H43" s="371"/>
      <c r="I43" s="371">
        <v>9</v>
      </c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371"/>
      <c r="V43" s="371"/>
      <c r="W43" s="371"/>
      <c r="X43" s="372"/>
      <c r="Y43" s="372"/>
      <c r="Z43" s="372"/>
      <c r="AA43" s="371">
        <v>2</v>
      </c>
      <c r="AB43" s="371"/>
      <c r="AC43" s="370"/>
      <c r="AD43" s="373">
        <f t="shared" si="0"/>
        <v>21</v>
      </c>
      <c r="AE43" s="372"/>
      <c r="AF43" s="373">
        <f>AD43+AE43</f>
        <v>21</v>
      </c>
    </row>
    <row r="44" spans="1:32" s="364" customFormat="1" ht="19.5" customHeight="1" x14ac:dyDescent="0.2">
      <c r="A44" s="740" t="s">
        <v>518</v>
      </c>
      <c r="B44" s="368">
        <v>0</v>
      </c>
      <c r="C44" s="368">
        <v>0</v>
      </c>
      <c r="D44" s="368">
        <v>0</v>
      </c>
      <c r="E44" s="368">
        <v>0</v>
      </c>
      <c r="F44" s="368">
        <v>0</v>
      </c>
      <c r="G44" s="368">
        <v>0</v>
      </c>
      <c r="H44" s="368">
        <v>0</v>
      </c>
      <c r="I44" s="368">
        <v>78</v>
      </c>
      <c r="J44" s="368">
        <v>0</v>
      </c>
      <c r="K44" s="368">
        <v>1247</v>
      </c>
      <c r="L44" s="368">
        <v>0</v>
      </c>
      <c r="M44" s="368">
        <v>0</v>
      </c>
      <c r="N44" s="368">
        <v>0</v>
      </c>
      <c r="O44" s="368">
        <v>0</v>
      </c>
      <c r="P44" s="368">
        <v>0</v>
      </c>
      <c r="Q44" s="368">
        <v>76</v>
      </c>
      <c r="R44" s="368">
        <v>200</v>
      </c>
      <c r="S44" s="368">
        <v>50</v>
      </c>
      <c r="T44" s="368">
        <v>0</v>
      </c>
      <c r="U44" s="368">
        <v>0</v>
      </c>
      <c r="V44" s="368">
        <v>0</v>
      </c>
      <c r="W44" s="368">
        <v>81</v>
      </c>
      <c r="X44" s="368">
        <v>129</v>
      </c>
      <c r="Y44" s="368">
        <v>94</v>
      </c>
      <c r="Z44" s="368">
        <v>90</v>
      </c>
      <c r="AA44" s="368">
        <v>0</v>
      </c>
      <c r="AB44" s="368">
        <v>0</v>
      </c>
      <c r="AC44" s="368">
        <v>0</v>
      </c>
      <c r="AD44" s="368">
        <f t="shared" si="0"/>
        <v>2045</v>
      </c>
      <c r="AE44" s="368">
        <v>15</v>
      </c>
      <c r="AF44" s="368">
        <f t="shared" ref="AF44" si="12">AF45+AF46+AF47+AF48</f>
        <v>2060</v>
      </c>
    </row>
    <row r="45" spans="1:32" s="367" customFormat="1" ht="14.25" customHeight="1" x14ac:dyDescent="0.2">
      <c r="A45" s="366">
        <v>30</v>
      </c>
      <c r="B45" s="371"/>
      <c r="C45" s="371"/>
      <c r="D45" s="371"/>
      <c r="E45" s="371"/>
      <c r="F45" s="371"/>
      <c r="G45" s="371"/>
      <c r="H45" s="371"/>
      <c r="I45" s="371">
        <v>78</v>
      </c>
      <c r="J45" s="371"/>
      <c r="K45" s="371">
        <v>1187</v>
      </c>
      <c r="L45" s="371"/>
      <c r="M45" s="370"/>
      <c r="N45" s="371"/>
      <c r="O45" s="371"/>
      <c r="P45" s="371"/>
      <c r="Q45" s="371">
        <v>69</v>
      </c>
      <c r="R45" s="371">
        <v>190</v>
      </c>
      <c r="S45" s="371">
        <v>50</v>
      </c>
      <c r="T45" s="370"/>
      <c r="U45" s="370"/>
      <c r="V45" s="370"/>
      <c r="W45" s="370">
        <v>76</v>
      </c>
      <c r="X45" s="372">
        <v>129</v>
      </c>
      <c r="Y45" s="372">
        <v>89</v>
      </c>
      <c r="Z45" s="372">
        <v>70</v>
      </c>
      <c r="AA45" s="371"/>
      <c r="AB45" s="371"/>
      <c r="AC45" s="370"/>
      <c r="AD45" s="373">
        <f t="shared" si="0"/>
        <v>1938</v>
      </c>
      <c r="AE45" s="372"/>
      <c r="AF45" s="373">
        <f>AD45+AE45</f>
        <v>1938</v>
      </c>
    </row>
    <row r="46" spans="1:32" s="367" customFormat="1" ht="14.25" customHeight="1" x14ac:dyDescent="0.2">
      <c r="A46" s="366">
        <v>31</v>
      </c>
      <c r="B46" s="371"/>
      <c r="C46" s="371"/>
      <c r="D46" s="371"/>
      <c r="E46" s="371"/>
      <c r="F46" s="371"/>
      <c r="G46" s="371"/>
      <c r="H46" s="371"/>
      <c r="I46" s="371"/>
      <c r="J46" s="371"/>
      <c r="K46" s="371"/>
      <c r="L46" s="371"/>
      <c r="M46" s="370"/>
      <c r="N46" s="371"/>
      <c r="O46" s="371"/>
      <c r="P46" s="371"/>
      <c r="Q46" s="371"/>
      <c r="R46" s="371"/>
      <c r="S46" s="371"/>
      <c r="T46" s="370"/>
      <c r="U46" s="370"/>
      <c r="V46" s="370"/>
      <c r="W46" s="370"/>
      <c r="X46" s="372"/>
      <c r="Y46" s="372"/>
      <c r="Z46" s="372">
        <v>20</v>
      </c>
      <c r="AA46" s="371"/>
      <c r="AB46" s="371"/>
      <c r="AC46" s="370"/>
      <c r="AD46" s="373">
        <f t="shared" si="0"/>
        <v>20</v>
      </c>
      <c r="AE46" s="372"/>
      <c r="AF46" s="373">
        <f>AD46+AE46</f>
        <v>20</v>
      </c>
    </row>
    <row r="47" spans="1:32" s="367" customFormat="1" ht="14.25" customHeight="1" x14ac:dyDescent="0.2">
      <c r="A47" s="366">
        <v>32</v>
      </c>
      <c r="B47" s="371"/>
      <c r="C47" s="371"/>
      <c r="D47" s="371"/>
      <c r="E47" s="371"/>
      <c r="F47" s="371"/>
      <c r="G47" s="371"/>
      <c r="H47" s="371"/>
      <c r="I47" s="371"/>
      <c r="J47" s="371"/>
      <c r="K47" s="371">
        <v>30</v>
      </c>
      <c r="L47" s="371"/>
      <c r="M47" s="370"/>
      <c r="N47" s="371"/>
      <c r="O47" s="371"/>
      <c r="P47" s="371"/>
      <c r="Q47" s="371">
        <v>7</v>
      </c>
      <c r="R47" s="371">
        <v>10</v>
      </c>
      <c r="S47" s="371"/>
      <c r="T47" s="370"/>
      <c r="U47" s="370"/>
      <c r="V47" s="370"/>
      <c r="W47" s="370">
        <v>5</v>
      </c>
      <c r="X47" s="372"/>
      <c r="Y47" s="372"/>
      <c r="Z47" s="372"/>
      <c r="AA47" s="371"/>
      <c r="AB47" s="371"/>
      <c r="AC47" s="370"/>
      <c r="AD47" s="373">
        <f t="shared" si="0"/>
        <v>52</v>
      </c>
      <c r="AE47" s="372">
        <v>15</v>
      </c>
      <c r="AF47" s="373">
        <f>AD47+AE47</f>
        <v>67</v>
      </c>
    </row>
    <row r="48" spans="1:32" s="367" customFormat="1" ht="14.25" customHeight="1" x14ac:dyDescent="0.2">
      <c r="A48" s="366">
        <v>33</v>
      </c>
      <c r="B48" s="371"/>
      <c r="C48" s="371"/>
      <c r="D48" s="371"/>
      <c r="E48" s="371"/>
      <c r="F48" s="371"/>
      <c r="G48" s="371"/>
      <c r="H48" s="371"/>
      <c r="I48" s="371"/>
      <c r="J48" s="371"/>
      <c r="K48" s="371">
        <v>30</v>
      </c>
      <c r="L48" s="371"/>
      <c r="M48" s="370"/>
      <c r="N48" s="371"/>
      <c r="O48" s="371"/>
      <c r="P48" s="371"/>
      <c r="Q48" s="371"/>
      <c r="R48" s="371"/>
      <c r="S48" s="371"/>
      <c r="T48" s="370"/>
      <c r="U48" s="370"/>
      <c r="V48" s="370"/>
      <c r="W48" s="370"/>
      <c r="X48" s="372"/>
      <c r="Y48" s="372">
        <v>5</v>
      </c>
      <c r="Z48" s="372"/>
      <c r="AA48" s="371"/>
      <c r="AB48" s="371"/>
      <c r="AC48" s="370"/>
      <c r="AD48" s="373">
        <f t="shared" si="0"/>
        <v>35</v>
      </c>
      <c r="AE48" s="372"/>
      <c r="AF48" s="373">
        <f>AD48+AE48</f>
        <v>35</v>
      </c>
    </row>
    <row r="49" spans="1:32" s="364" customFormat="1" ht="18.75" customHeight="1" x14ac:dyDescent="0.2">
      <c r="A49" s="740" t="s">
        <v>519</v>
      </c>
      <c r="B49" s="368">
        <v>0</v>
      </c>
      <c r="C49" s="368">
        <v>0</v>
      </c>
      <c r="D49" s="368">
        <v>0</v>
      </c>
      <c r="E49" s="368">
        <v>60</v>
      </c>
      <c r="F49" s="368">
        <v>0</v>
      </c>
      <c r="G49" s="368">
        <v>0</v>
      </c>
      <c r="H49" s="368">
        <v>0</v>
      </c>
      <c r="I49" s="368">
        <v>50</v>
      </c>
      <c r="J49" s="368">
        <v>0</v>
      </c>
      <c r="K49" s="368">
        <v>0</v>
      </c>
      <c r="L49" s="368">
        <v>0</v>
      </c>
      <c r="M49" s="368">
        <v>0</v>
      </c>
      <c r="N49" s="368">
        <v>0</v>
      </c>
      <c r="O49" s="368">
        <v>0</v>
      </c>
      <c r="P49" s="368">
        <v>0</v>
      </c>
      <c r="Q49" s="368">
        <v>0</v>
      </c>
      <c r="R49" s="368">
        <v>0</v>
      </c>
      <c r="S49" s="368">
        <v>0</v>
      </c>
      <c r="T49" s="368">
        <v>0</v>
      </c>
      <c r="U49" s="368">
        <v>0</v>
      </c>
      <c r="V49" s="368">
        <v>0</v>
      </c>
      <c r="W49" s="368">
        <v>0</v>
      </c>
      <c r="X49" s="368">
        <v>0</v>
      </c>
      <c r="Y49" s="368">
        <v>0</v>
      </c>
      <c r="Z49" s="368">
        <v>0</v>
      </c>
      <c r="AA49" s="368">
        <v>0</v>
      </c>
      <c r="AB49" s="368">
        <v>0</v>
      </c>
      <c r="AC49" s="368">
        <v>0</v>
      </c>
      <c r="AD49" s="368">
        <f t="shared" si="0"/>
        <v>110</v>
      </c>
      <c r="AE49" s="368">
        <v>0</v>
      </c>
      <c r="AF49" s="368">
        <f t="shared" ref="AF49" si="13">SUM(AF50:AF57)</f>
        <v>110</v>
      </c>
    </row>
    <row r="50" spans="1:32" s="367" customFormat="1" ht="15" customHeight="1" x14ac:dyDescent="0.2">
      <c r="A50" s="366">
        <v>34</v>
      </c>
      <c r="B50" s="371"/>
      <c r="C50" s="371"/>
      <c r="D50" s="371"/>
      <c r="E50" s="371"/>
      <c r="F50" s="371"/>
      <c r="G50" s="371"/>
      <c r="H50" s="371"/>
      <c r="I50" s="371">
        <v>3</v>
      </c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  <c r="W50" s="371"/>
      <c r="X50" s="372"/>
      <c r="Y50" s="372"/>
      <c r="Z50" s="372"/>
      <c r="AA50" s="371"/>
      <c r="AB50" s="371"/>
      <c r="AC50" s="370"/>
      <c r="AD50" s="373">
        <f t="shared" si="0"/>
        <v>3</v>
      </c>
      <c r="AE50" s="372"/>
      <c r="AF50" s="383">
        <f t="shared" ref="AF50:AF57" si="14">AD50+AE50</f>
        <v>3</v>
      </c>
    </row>
    <row r="51" spans="1:32" s="367" customFormat="1" ht="13.5" customHeight="1" x14ac:dyDescent="0.2">
      <c r="A51" s="366">
        <v>35</v>
      </c>
      <c r="B51" s="371"/>
      <c r="C51" s="371"/>
      <c r="D51" s="371"/>
      <c r="E51" s="371"/>
      <c r="F51" s="371"/>
      <c r="G51" s="371"/>
      <c r="H51" s="371"/>
      <c r="I51" s="371">
        <v>47</v>
      </c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371"/>
      <c r="V51" s="371"/>
      <c r="W51" s="371"/>
      <c r="X51" s="372"/>
      <c r="Y51" s="372"/>
      <c r="Z51" s="372"/>
      <c r="AA51" s="371"/>
      <c r="AB51" s="371"/>
      <c r="AC51" s="370"/>
      <c r="AD51" s="373">
        <f t="shared" si="0"/>
        <v>47</v>
      </c>
      <c r="AE51" s="372"/>
      <c r="AF51" s="383">
        <f t="shared" si="14"/>
        <v>47</v>
      </c>
    </row>
    <row r="52" spans="1:32" s="367" customFormat="1" ht="15" customHeight="1" x14ac:dyDescent="0.2">
      <c r="A52" s="366">
        <v>36</v>
      </c>
      <c r="B52" s="371"/>
      <c r="C52" s="371"/>
      <c r="D52" s="371"/>
      <c r="E52" s="371">
        <v>60</v>
      </c>
      <c r="F52" s="371"/>
      <c r="G52" s="375"/>
      <c r="H52" s="371"/>
      <c r="I52" s="371"/>
      <c r="J52" s="371"/>
      <c r="K52" s="375"/>
      <c r="L52" s="371"/>
      <c r="M52" s="371"/>
      <c r="N52" s="375"/>
      <c r="O52" s="375"/>
      <c r="P52" s="371"/>
      <c r="Q52" s="371"/>
      <c r="R52" s="375"/>
      <c r="S52" s="371"/>
      <c r="T52" s="371"/>
      <c r="U52" s="371"/>
      <c r="V52" s="371"/>
      <c r="W52" s="371"/>
      <c r="X52" s="372"/>
      <c r="Y52" s="372"/>
      <c r="Z52" s="372"/>
      <c r="AA52" s="371"/>
      <c r="AB52" s="371"/>
      <c r="AC52" s="370"/>
      <c r="AD52" s="373">
        <f t="shared" si="0"/>
        <v>60</v>
      </c>
      <c r="AE52" s="372"/>
      <c r="AF52" s="383">
        <f t="shared" si="14"/>
        <v>60</v>
      </c>
    </row>
    <row r="53" spans="1:32" s="367" customFormat="1" ht="15" customHeight="1" x14ac:dyDescent="0.2">
      <c r="A53" s="366">
        <v>37</v>
      </c>
      <c r="B53" s="371"/>
      <c r="C53" s="371"/>
      <c r="D53" s="371"/>
      <c r="E53" s="371"/>
      <c r="F53" s="371"/>
      <c r="G53" s="375"/>
      <c r="H53" s="371"/>
      <c r="I53" s="371"/>
      <c r="J53" s="371"/>
      <c r="K53" s="375"/>
      <c r="L53" s="371"/>
      <c r="M53" s="371"/>
      <c r="N53" s="375"/>
      <c r="O53" s="375"/>
      <c r="P53" s="371"/>
      <c r="Q53" s="371"/>
      <c r="R53" s="375"/>
      <c r="S53" s="371"/>
      <c r="T53" s="371"/>
      <c r="U53" s="371"/>
      <c r="V53" s="371"/>
      <c r="W53" s="371"/>
      <c r="X53" s="372"/>
      <c r="Y53" s="372"/>
      <c r="Z53" s="372"/>
      <c r="AA53" s="371"/>
      <c r="AB53" s="371"/>
      <c r="AC53" s="370"/>
      <c r="AD53" s="373">
        <f t="shared" si="0"/>
        <v>0</v>
      </c>
      <c r="AE53" s="372"/>
      <c r="AF53" s="383">
        <f t="shared" si="14"/>
        <v>0</v>
      </c>
    </row>
    <row r="54" spans="1:32" s="367" customFormat="1" ht="15" customHeight="1" x14ac:dyDescent="0.2">
      <c r="A54" s="366">
        <v>38</v>
      </c>
      <c r="B54" s="371"/>
      <c r="C54" s="371"/>
      <c r="D54" s="371"/>
      <c r="E54" s="371"/>
      <c r="F54" s="371"/>
      <c r="G54" s="375"/>
      <c r="H54" s="371"/>
      <c r="I54" s="371"/>
      <c r="J54" s="371"/>
      <c r="K54" s="375"/>
      <c r="L54" s="371"/>
      <c r="M54" s="371"/>
      <c r="N54" s="375"/>
      <c r="O54" s="375"/>
      <c r="P54" s="371"/>
      <c r="Q54" s="371"/>
      <c r="R54" s="375"/>
      <c r="S54" s="371"/>
      <c r="T54" s="371"/>
      <c r="U54" s="371"/>
      <c r="V54" s="371"/>
      <c r="W54" s="371"/>
      <c r="X54" s="372"/>
      <c r="Y54" s="372"/>
      <c r="Z54" s="372"/>
      <c r="AA54" s="371"/>
      <c r="AB54" s="371"/>
      <c r="AC54" s="370"/>
      <c r="AD54" s="373">
        <f t="shared" si="0"/>
        <v>0</v>
      </c>
      <c r="AE54" s="372"/>
      <c r="AF54" s="383">
        <f t="shared" si="14"/>
        <v>0</v>
      </c>
    </row>
    <row r="55" spans="1:32" s="367" customFormat="1" ht="15" customHeight="1" x14ac:dyDescent="0.2">
      <c r="A55" s="366">
        <v>39</v>
      </c>
      <c r="B55" s="371"/>
      <c r="C55" s="371"/>
      <c r="D55" s="371"/>
      <c r="E55" s="371"/>
      <c r="F55" s="371"/>
      <c r="G55" s="375"/>
      <c r="H55" s="371"/>
      <c r="I55" s="371"/>
      <c r="J55" s="371"/>
      <c r="K55" s="375"/>
      <c r="L55" s="371"/>
      <c r="M55" s="371"/>
      <c r="N55" s="375"/>
      <c r="O55" s="375"/>
      <c r="P55" s="371"/>
      <c r="Q55" s="371"/>
      <c r="R55" s="375"/>
      <c r="S55" s="371"/>
      <c r="T55" s="371"/>
      <c r="U55" s="371"/>
      <c r="V55" s="371"/>
      <c r="W55" s="371"/>
      <c r="X55" s="372"/>
      <c r="Y55" s="372"/>
      <c r="Z55" s="372"/>
      <c r="AA55" s="371"/>
      <c r="AB55" s="371"/>
      <c r="AC55" s="370"/>
      <c r="AD55" s="373">
        <f t="shared" si="0"/>
        <v>0</v>
      </c>
      <c r="AE55" s="372"/>
      <c r="AF55" s="383">
        <f t="shared" si="14"/>
        <v>0</v>
      </c>
    </row>
    <row r="56" spans="1:32" s="367" customFormat="1" ht="15" customHeight="1" x14ac:dyDescent="0.2">
      <c r="A56" s="366">
        <v>40</v>
      </c>
      <c r="B56" s="371"/>
      <c r="C56" s="371"/>
      <c r="D56" s="371"/>
      <c r="E56" s="371"/>
      <c r="F56" s="371"/>
      <c r="G56" s="375"/>
      <c r="H56" s="371"/>
      <c r="I56" s="371"/>
      <c r="J56" s="371"/>
      <c r="K56" s="375"/>
      <c r="L56" s="371"/>
      <c r="M56" s="371"/>
      <c r="N56" s="375"/>
      <c r="O56" s="375"/>
      <c r="P56" s="371"/>
      <c r="Q56" s="371"/>
      <c r="R56" s="375"/>
      <c r="S56" s="371"/>
      <c r="T56" s="371"/>
      <c r="U56" s="371"/>
      <c r="V56" s="371"/>
      <c r="W56" s="371"/>
      <c r="X56" s="372"/>
      <c r="Y56" s="372"/>
      <c r="Z56" s="372"/>
      <c r="AA56" s="371"/>
      <c r="AB56" s="371"/>
      <c r="AC56" s="370"/>
      <c r="AD56" s="373">
        <f t="shared" si="0"/>
        <v>0</v>
      </c>
      <c r="AE56" s="372"/>
      <c r="AF56" s="383">
        <f t="shared" si="14"/>
        <v>0</v>
      </c>
    </row>
    <row r="57" spans="1:32" s="367" customFormat="1" ht="15" customHeight="1" x14ac:dyDescent="0.2">
      <c r="A57" s="366">
        <v>41</v>
      </c>
      <c r="B57" s="371"/>
      <c r="C57" s="371"/>
      <c r="D57" s="371"/>
      <c r="E57" s="371"/>
      <c r="F57" s="371"/>
      <c r="G57" s="375"/>
      <c r="H57" s="371"/>
      <c r="I57" s="371"/>
      <c r="J57" s="371"/>
      <c r="K57" s="375"/>
      <c r="L57" s="371"/>
      <c r="M57" s="371"/>
      <c r="N57" s="375"/>
      <c r="O57" s="375"/>
      <c r="P57" s="371"/>
      <c r="Q57" s="371"/>
      <c r="R57" s="375"/>
      <c r="S57" s="371"/>
      <c r="T57" s="371"/>
      <c r="U57" s="371"/>
      <c r="V57" s="371"/>
      <c r="W57" s="371"/>
      <c r="X57" s="372"/>
      <c r="Y57" s="372"/>
      <c r="Z57" s="372"/>
      <c r="AA57" s="371"/>
      <c r="AB57" s="371"/>
      <c r="AC57" s="370"/>
      <c r="AD57" s="373">
        <f t="shared" si="0"/>
        <v>0</v>
      </c>
      <c r="AE57" s="372"/>
      <c r="AF57" s="383">
        <f t="shared" si="14"/>
        <v>0</v>
      </c>
    </row>
    <row r="58" spans="1:32" s="364" customFormat="1" ht="17.25" customHeight="1" x14ac:dyDescent="0.2">
      <c r="A58" s="740" t="s">
        <v>520</v>
      </c>
      <c r="B58" s="368">
        <v>183</v>
      </c>
      <c r="C58" s="368">
        <v>0</v>
      </c>
      <c r="D58" s="368">
        <v>0</v>
      </c>
      <c r="E58" s="368">
        <v>0</v>
      </c>
      <c r="F58" s="368">
        <v>0</v>
      </c>
      <c r="G58" s="368">
        <v>0</v>
      </c>
      <c r="H58" s="368">
        <v>0</v>
      </c>
      <c r="I58" s="368">
        <v>0</v>
      </c>
      <c r="J58" s="368">
        <v>0</v>
      </c>
      <c r="K58" s="368">
        <v>0</v>
      </c>
      <c r="L58" s="368">
        <v>134</v>
      </c>
      <c r="M58" s="368">
        <v>0</v>
      </c>
      <c r="N58" s="368">
        <v>0</v>
      </c>
      <c r="O58" s="368">
        <v>0</v>
      </c>
      <c r="P58" s="368">
        <v>0</v>
      </c>
      <c r="Q58" s="368">
        <v>0</v>
      </c>
      <c r="R58" s="368">
        <v>45</v>
      </c>
      <c r="S58" s="368">
        <v>0</v>
      </c>
      <c r="T58" s="368">
        <v>0</v>
      </c>
      <c r="U58" s="368">
        <v>0</v>
      </c>
      <c r="V58" s="368">
        <v>0</v>
      </c>
      <c r="W58" s="368">
        <v>0</v>
      </c>
      <c r="X58" s="368">
        <v>0</v>
      </c>
      <c r="Y58" s="368">
        <v>0</v>
      </c>
      <c r="Z58" s="368">
        <v>0</v>
      </c>
      <c r="AA58" s="368">
        <v>0</v>
      </c>
      <c r="AB58" s="368">
        <v>0</v>
      </c>
      <c r="AC58" s="368">
        <v>0</v>
      </c>
      <c r="AD58" s="368">
        <f t="shared" si="0"/>
        <v>362</v>
      </c>
      <c r="AE58" s="368">
        <v>0</v>
      </c>
      <c r="AF58" s="368">
        <f t="shared" ref="AF58" si="15">AF59</f>
        <v>362</v>
      </c>
    </row>
    <row r="59" spans="1:32" s="367" customFormat="1" ht="14.25" customHeight="1" x14ac:dyDescent="0.2">
      <c r="A59" s="366">
        <v>42</v>
      </c>
      <c r="B59" s="371">
        <v>183</v>
      </c>
      <c r="C59" s="371"/>
      <c r="D59" s="371"/>
      <c r="E59" s="371"/>
      <c r="F59" s="371"/>
      <c r="G59" s="371"/>
      <c r="H59" s="371"/>
      <c r="I59" s="371"/>
      <c r="J59" s="371"/>
      <c r="K59" s="371"/>
      <c r="L59" s="371">
        <v>134</v>
      </c>
      <c r="M59" s="371"/>
      <c r="N59" s="371"/>
      <c r="O59" s="371"/>
      <c r="P59" s="371"/>
      <c r="Q59" s="371"/>
      <c r="R59" s="371">
        <v>45</v>
      </c>
      <c r="S59" s="371"/>
      <c r="T59" s="371"/>
      <c r="U59" s="371"/>
      <c r="V59" s="371"/>
      <c r="W59" s="371"/>
      <c r="X59" s="372"/>
      <c r="Y59" s="372"/>
      <c r="Z59" s="372"/>
      <c r="AA59" s="371"/>
      <c r="AB59" s="371"/>
      <c r="AC59" s="370"/>
      <c r="AD59" s="373">
        <f t="shared" si="0"/>
        <v>362</v>
      </c>
      <c r="AE59" s="372"/>
      <c r="AF59" s="383">
        <f>AD59+AE59</f>
        <v>362</v>
      </c>
    </row>
    <row r="60" spans="1:32" s="364" customFormat="1" ht="26.25" customHeight="1" x14ac:dyDescent="0.2">
      <c r="A60" s="738" t="s">
        <v>521</v>
      </c>
      <c r="B60" s="368">
        <v>858</v>
      </c>
      <c r="C60" s="368">
        <v>765</v>
      </c>
      <c r="D60" s="368">
        <v>0</v>
      </c>
      <c r="E60" s="368">
        <v>3528</v>
      </c>
      <c r="F60" s="368">
        <v>0</v>
      </c>
      <c r="G60" s="368">
        <v>0</v>
      </c>
      <c r="H60" s="368">
        <v>0</v>
      </c>
      <c r="I60" s="368">
        <v>0</v>
      </c>
      <c r="J60" s="368">
        <v>0</v>
      </c>
      <c r="K60" s="368">
        <v>0</v>
      </c>
      <c r="L60" s="368">
        <v>0</v>
      </c>
      <c r="M60" s="368">
        <v>558</v>
      </c>
      <c r="N60" s="368">
        <v>505</v>
      </c>
      <c r="O60" s="368">
        <v>0</v>
      </c>
      <c r="P60" s="368">
        <v>220</v>
      </c>
      <c r="Q60" s="368">
        <v>400</v>
      </c>
      <c r="R60" s="368">
        <v>491</v>
      </c>
      <c r="S60" s="368">
        <v>77</v>
      </c>
      <c r="T60" s="368">
        <v>349</v>
      </c>
      <c r="U60" s="368">
        <v>181</v>
      </c>
      <c r="V60" s="368">
        <v>0</v>
      </c>
      <c r="W60" s="368">
        <v>53</v>
      </c>
      <c r="X60" s="368">
        <v>0</v>
      </c>
      <c r="Y60" s="368">
        <v>0</v>
      </c>
      <c r="Z60" s="368">
        <v>0</v>
      </c>
      <c r="AA60" s="368">
        <v>0</v>
      </c>
      <c r="AB60" s="368">
        <v>575</v>
      </c>
      <c r="AC60" s="368">
        <v>28</v>
      </c>
      <c r="AD60" s="368">
        <f t="shared" si="0"/>
        <v>8588</v>
      </c>
      <c r="AE60" s="368">
        <v>0</v>
      </c>
      <c r="AF60" s="368">
        <f t="shared" ref="AF60" si="16">SUM(AF61:AF82)</f>
        <v>8588</v>
      </c>
    </row>
    <row r="61" spans="1:32" s="367" customFormat="1" ht="14.25" customHeight="1" x14ac:dyDescent="0.2">
      <c r="A61" s="366">
        <v>43</v>
      </c>
      <c r="B61" s="384">
        <v>128</v>
      </c>
      <c r="C61" s="384">
        <v>210</v>
      </c>
      <c r="D61" s="384"/>
      <c r="E61" s="384">
        <v>137</v>
      </c>
      <c r="F61" s="384"/>
      <c r="G61" s="385"/>
      <c r="H61" s="384"/>
      <c r="I61" s="384"/>
      <c r="J61" s="384"/>
      <c r="K61" s="371"/>
      <c r="L61" s="384"/>
      <c r="M61" s="377">
        <v>28</v>
      </c>
      <c r="N61" s="384">
        <v>152</v>
      </c>
      <c r="O61" s="385"/>
      <c r="P61" s="384">
        <v>25</v>
      </c>
      <c r="Q61" s="384">
        <v>106</v>
      </c>
      <c r="R61" s="384">
        <v>200</v>
      </c>
      <c r="S61" s="370">
        <v>40</v>
      </c>
      <c r="T61" s="382">
        <v>126</v>
      </c>
      <c r="U61" s="371">
        <v>78</v>
      </c>
      <c r="V61" s="371"/>
      <c r="W61" s="371">
        <v>25</v>
      </c>
      <c r="X61" s="376"/>
      <c r="Y61" s="376"/>
      <c r="Z61" s="376"/>
      <c r="AA61" s="371"/>
      <c r="AB61" s="371">
        <v>255</v>
      </c>
      <c r="AC61" s="370">
        <v>4</v>
      </c>
      <c r="AD61" s="373">
        <f t="shared" si="0"/>
        <v>1514</v>
      </c>
      <c r="AE61" s="376"/>
      <c r="AF61" s="373">
        <f t="shared" ref="AF61:AF82" si="17">AD61+AE61</f>
        <v>1514</v>
      </c>
    </row>
    <row r="62" spans="1:32" s="367" customFormat="1" ht="14.25" customHeight="1" x14ac:dyDescent="0.2">
      <c r="A62" s="366">
        <v>44</v>
      </c>
      <c r="B62" s="371">
        <v>68</v>
      </c>
      <c r="C62" s="371">
        <v>90</v>
      </c>
      <c r="D62" s="384"/>
      <c r="E62" s="371">
        <v>250</v>
      </c>
      <c r="F62" s="371"/>
      <c r="G62" s="371"/>
      <c r="H62" s="371"/>
      <c r="I62" s="371"/>
      <c r="J62" s="371"/>
      <c r="K62" s="371"/>
      <c r="L62" s="371"/>
      <c r="M62" s="370">
        <v>92</v>
      </c>
      <c r="N62" s="371">
        <v>70</v>
      </c>
      <c r="O62" s="371"/>
      <c r="P62" s="371">
        <v>20</v>
      </c>
      <c r="Q62" s="371">
        <v>68</v>
      </c>
      <c r="R62" s="371">
        <v>25</v>
      </c>
      <c r="S62" s="370">
        <v>15</v>
      </c>
      <c r="T62" s="382">
        <v>44</v>
      </c>
      <c r="U62" s="371">
        <v>26</v>
      </c>
      <c r="V62" s="371"/>
      <c r="W62" s="371">
        <v>10</v>
      </c>
      <c r="X62" s="376"/>
      <c r="Y62" s="376"/>
      <c r="Z62" s="376"/>
      <c r="AA62" s="371"/>
      <c r="AB62" s="371">
        <v>81</v>
      </c>
      <c r="AC62" s="370"/>
      <c r="AD62" s="373">
        <f t="shared" si="0"/>
        <v>859</v>
      </c>
      <c r="AE62" s="376"/>
      <c r="AF62" s="373">
        <f t="shared" si="17"/>
        <v>859</v>
      </c>
    </row>
    <row r="63" spans="1:32" s="367" customFormat="1" ht="14.25" customHeight="1" x14ac:dyDescent="0.2">
      <c r="A63" s="366">
        <v>45</v>
      </c>
      <c r="B63" s="371">
        <v>25</v>
      </c>
      <c r="C63" s="371">
        <v>15</v>
      </c>
      <c r="D63" s="384"/>
      <c r="E63" s="371">
        <v>120</v>
      </c>
      <c r="F63" s="371"/>
      <c r="G63" s="375"/>
      <c r="H63" s="371"/>
      <c r="I63" s="371"/>
      <c r="J63" s="371"/>
      <c r="K63" s="371"/>
      <c r="L63" s="371"/>
      <c r="M63" s="370">
        <v>63</v>
      </c>
      <c r="N63" s="371">
        <v>23</v>
      </c>
      <c r="O63" s="375"/>
      <c r="P63" s="371">
        <v>9</v>
      </c>
      <c r="Q63" s="371">
        <v>25</v>
      </c>
      <c r="R63" s="371">
        <v>8</v>
      </c>
      <c r="S63" s="370">
        <v>3</v>
      </c>
      <c r="T63" s="382">
        <v>17</v>
      </c>
      <c r="U63" s="370">
        <v>5</v>
      </c>
      <c r="V63" s="370"/>
      <c r="W63" s="371">
        <v>8</v>
      </c>
      <c r="X63" s="386"/>
      <c r="Y63" s="386"/>
      <c r="Z63" s="386"/>
      <c r="AA63" s="371"/>
      <c r="AB63" s="371">
        <v>13</v>
      </c>
      <c r="AC63" s="370"/>
      <c r="AD63" s="373">
        <f t="shared" si="0"/>
        <v>334</v>
      </c>
      <c r="AE63" s="386"/>
      <c r="AF63" s="373">
        <f t="shared" si="17"/>
        <v>334</v>
      </c>
    </row>
    <row r="64" spans="1:32" s="367" customFormat="1" ht="14.25" customHeight="1" x14ac:dyDescent="0.2">
      <c r="A64" s="366">
        <v>46</v>
      </c>
      <c r="B64" s="371">
        <v>210</v>
      </c>
      <c r="C64" s="371">
        <v>140</v>
      </c>
      <c r="D64" s="384"/>
      <c r="E64" s="371">
        <v>192</v>
      </c>
      <c r="F64" s="371"/>
      <c r="G64" s="375"/>
      <c r="H64" s="371"/>
      <c r="I64" s="371"/>
      <c r="J64" s="371"/>
      <c r="K64" s="371"/>
      <c r="L64" s="371"/>
      <c r="M64" s="370"/>
      <c r="N64" s="371">
        <v>175</v>
      </c>
      <c r="O64" s="375"/>
      <c r="P64" s="371">
        <v>90</v>
      </c>
      <c r="Q64" s="371">
        <v>147</v>
      </c>
      <c r="R64" s="371">
        <v>216</v>
      </c>
      <c r="S64" s="370">
        <v>3</v>
      </c>
      <c r="T64" s="382">
        <v>75</v>
      </c>
      <c r="U64" s="370">
        <v>45</v>
      </c>
      <c r="V64" s="370"/>
      <c r="W64" s="371">
        <v>1</v>
      </c>
      <c r="X64" s="386"/>
      <c r="Y64" s="386"/>
      <c r="Z64" s="386"/>
      <c r="AA64" s="371"/>
      <c r="AB64" s="371">
        <v>61</v>
      </c>
      <c r="AC64" s="370">
        <v>2</v>
      </c>
      <c r="AD64" s="373">
        <f t="shared" si="0"/>
        <v>1357</v>
      </c>
      <c r="AE64" s="386"/>
      <c r="AF64" s="373">
        <f t="shared" si="17"/>
        <v>1357</v>
      </c>
    </row>
    <row r="65" spans="1:32" s="367" customFormat="1" ht="14.25" customHeight="1" x14ac:dyDescent="0.2">
      <c r="A65" s="366">
        <v>47</v>
      </c>
      <c r="B65" s="371">
        <v>210</v>
      </c>
      <c r="C65" s="371">
        <v>40</v>
      </c>
      <c r="D65" s="384"/>
      <c r="E65" s="371">
        <v>151</v>
      </c>
      <c r="F65" s="371"/>
      <c r="G65" s="371"/>
      <c r="H65" s="371"/>
      <c r="I65" s="371"/>
      <c r="J65" s="371"/>
      <c r="K65" s="371"/>
      <c r="L65" s="371"/>
      <c r="M65" s="370">
        <v>109</v>
      </c>
      <c r="N65" s="371">
        <v>50</v>
      </c>
      <c r="O65" s="371"/>
      <c r="P65" s="371">
        <v>49</v>
      </c>
      <c r="Q65" s="371">
        <v>50</v>
      </c>
      <c r="R65" s="371">
        <v>23</v>
      </c>
      <c r="S65" s="370">
        <v>3</v>
      </c>
      <c r="T65" s="370">
        <v>23</v>
      </c>
      <c r="U65" s="370">
        <v>20</v>
      </c>
      <c r="V65" s="370"/>
      <c r="W65" s="371">
        <v>6</v>
      </c>
      <c r="X65" s="386"/>
      <c r="Y65" s="386"/>
      <c r="Z65" s="386"/>
      <c r="AA65" s="371"/>
      <c r="AB65" s="371">
        <v>50</v>
      </c>
      <c r="AC65" s="370">
        <v>2</v>
      </c>
      <c r="AD65" s="373">
        <f t="shared" si="0"/>
        <v>786</v>
      </c>
      <c r="AE65" s="386"/>
      <c r="AF65" s="373">
        <f t="shared" si="17"/>
        <v>786</v>
      </c>
    </row>
    <row r="66" spans="1:32" s="367" customFormat="1" ht="14.25" customHeight="1" x14ac:dyDescent="0.2">
      <c r="A66" s="366">
        <v>48</v>
      </c>
      <c r="B66" s="371">
        <v>64</v>
      </c>
      <c r="C66" s="371">
        <v>5</v>
      </c>
      <c r="D66" s="384"/>
      <c r="E66" s="371">
        <v>230</v>
      </c>
      <c r="F66" s="371"/>
      <c r="G66" s="371"/>
      <c r="H66" s="371"/>
      <c r="I66" s="371"/>
      <c r="J66" s="371"/>
      <c r="K66" s="371"/>
      <c r="L66" s="371"/>
      <c r="M66" s="370">
        <v>73</v>
      </c>
      <c r="N66" s="371">
        <v>15</v>
      </c>
      <c r="O66" s="371"/>
      <c r="P66" s="371">
        <v>18</v>
      </c>
      <c r="Q66" s="371">
        <v>3</v>
      </c>
      <c r="R66" s="371">
        <v>4</v>
      </c>
      <c r="S66" s="370">
        <v>3</v>
      </c>
      <c r="T66" s="370">
        <v>8</v>
      </c>
      <c r="U66" s="370"/>
      <c r="V66" s="370"/>
      <c r="W66" s="371">
        <v>3</v>
      </c>
      <c r="X66" s="386"/>
      <c r="Y66" s="386"/>
      <c r="Z66" s="386"/>
      <c r="AA66" s="371"/>
      <c r="AB66" s="371">
        <v>26</v>
      </c>
      <c r="AC66" s="370"/>
      <c r="AD66" s="373">
        <f t="shared" si="0"/>
        <v>452</v>
      </c>
      <c r="AE66" s="386"/>
      <c r="AF66" s="373">
        <f t="shared" si="17"/>
        <v>452</v>
      </c>
    </row>
    <row r="67" spans="1:32" s="367" customFormat="1" ht="14.25" customHeight="1" x14ac:dyDescent="0.2">
      <c r="A67" s="366">
        <v>49</v>
      </c>
      <c r="B67" s="371">
        <v>65</v>
      </c>
      <c r="C67" s="371">
        <v>140</v>
      </c>
      <c r="D67" s="384"/>
      <c r="E67" s="371">
        <v>223</v>
      </c>
      <c r="F67" s="371"/>
      <c r="G67" s="375"/>
      <c r="H67" s="371"/>
      <c r="I67" s="371"/>
      <c r="J67" s="371"/>
      <c r="K67" s="375"/>
      <c r="L67" s="371"/>
      <c r="M67" s="370"/>
      <c r="N67" s="375"/>
      <c r="O67" s="375"/>
      <c r="P67" s="371"/>
      <c r="Q67" s="371">
        <v>1</v>
      </c>
      <c r="R67" s="375"/>
      <c r="S67" s="370"/>
      <c r="T67" s="370">
        <v>46</v>
      </c>
      <c r="U67" s="370"/>
      <c r="V67" s="370"/>
      <c r="W67" s="370"/>
      <c r="X67" s="372"/>
      <c r="Y67" s="372"/>
      <c r="Z67" s="372"/>
      <c r="AA67" s="371"/>
      <c r="AB67" s="371">
        <v>50</v>
      </c>
      <c r="AC67" s="370">
        <v>20</v>
      </c>
      <c r="AD67" s="373">
        <f t="shared" si="0"/>
        <v>545</v>
      </c>
      <c r="AE67" s="372"/>
      <c r="AF67" s="373">
        <f t="shared" si="17"/>
        <v>545</v>
      </c>
    </row>
    <row r="68" spans="1:32" s="367" customFormat="1" ht="14.25" customHeight="1" x14ac:dyDescent="0.2">
      <c r="A68" s="366">
        <v>50</v>
      </c>
      <c r="B68" s="371">
        <v>65</v>
      </c>
      <c r="C68" s="371">
        <v>40</v>
      </c>
      <c r="D68" s="384"/>
      <c r="E68" s="371">
        <v>150</v>
      </c>
      <c r="F68" s="371"/>
      <c r="G68" s="375"/>
      <c r="H68" s="371"/>
      <c r="I68" s="371"/>
      <c r="J68" s="371"/>
      <c r="K68" s="375"/>
      <c r="L68" s="371"/>
      <c r="M68" s="370">
        <v>24</v>
      </c>
      <c r="N68" s="375"/>
      <c r="O68" s="375"/>
      <c r="P68" s="371"/>
      <c r="Q68" s="371"/>
      <c r="R68" s="375"/>
      <c r="S68" s="370"/>
      <c r="T68" s="370">
        <v>6</v>
      </c>
      <c r="U68" s="370"/>
      <c r="V68" s="370"/>
      <c r="W68" s="370"/>
      <c r="X68" s="372"/>
      <c r="Y68" s="372"/>
      <c r="Z68" s="372"/>
      <c r="AA68" s="371"/>
      <c r="AB68" s="371">
        <v>7</v>
      </c>
      <c r="AC68" s="370"/>
      <c r="AD68" s="373">
        <f t="shared" si="0"/>
        <v>292</v>
      </c>
      <c r="AE68" s="372"/>
      <c r="AF68" s="373">
        <f t="shared" si="17"/>
        <v>292</v>
      </c>
    </row>
    <row r="69" spans="1:32" s="367" customFormat="1" ht="14.25" customHeight="1" x14ac:dyDescent="0.2">
      <c r="A69" s="366">
        <v>51</v>
      </c>
      <c r="B69" s="371">
        <v>8</v>
      </c>
      <c r="C69" s="371">
        <v>6</v>
      </c>
      <c r="D69" s="384"/>
      <c r="E69" s="371">
        <v>328</v>
      </c>
      <c r="F69" s="371"/>
      <c r="G69" s="375"/>
      <c r="H69" s="371"/>
      <c r="I69" s="371"/>
      <c r="J69" s="371"/>
      <c r="K69" s="375"/>
      <c r="L69" s="371"/>
      <c r="M69" s="370">
        <v>13</v>
      </c>
      <c r="N69" s="375"/>
      <c r="O69" s="375"/>
      <c r="P69" s="371"/>
      <c r="Q69" s="371"/>
      <c r="R69" s="375"/>
      <c r="S69" s="370"/>
      <c r="T69" s="370">
        <v>3</v>
      </c>
      <c r="U69" s="370">
        <v>2</v>
      </c>
      <c r="V69" s="370"/>
      <c r="W69" s="370"/>
      <c r="X69" s="372"/>
      <c r="Y69" s="372"/>
      <c r="Z69" s="372"/>
      <c r="AA69" s="371"/>
      <c r="AB69" s="371">
        <v>3</v>
      </c>
      <c r="AC69" s="370"/>
      <c r="AD69" s="373">
        <f t="shared" si="0"/>
        <v>363</v>
      </c>
      <c r="AE69" s="372"/>
      <c r="AF69" s="373">
        <f t="shared" si="17"/>
        <v>363</v>
      </c>
    </row>
    <row r="70" spans="1:32" s="367" customFormat="1" ht="14.25" customHeight="1" x14ac:dyDescent="0.2">
      <c r="A70" s="366">
        <v>52</v>
      </c>
      <c r="B70" s="371"/>
      <c r="C70" s="371"/>
      <c r="D70" s="384"/>
      <c r="E70" s="371">
        <v>70</v>
      </c>
      <c r="F70" s="371"/>
      <c r="G70" s="375"/>
      <c r="H70" s="371"/>
      <c r="I70" s="371"/>
      <c r="J70" s="371"/>
      <c r="K70" s="375"/>
      <c r="L70" s="371"/>
      <c r="M70" s="370"/>
      <c r="N70" s="375"/>
      <c r="O70" s="375"/>
      <c r="P70" s="371"/>
      <c r="Q70" s="371"/>
      <c r="R70" s="375"/>
      <c r="S70" s="370"/>
      <c r="T70" s="370"/>
      <c r="U70" s="370"/>
      <c r="V70" s="370"/>
      <c r="W70" s="370"/>
      <c r="X70" s="372"/>
      <c r="Y70" s="372"/>
      <c r="Z70" s="372"/>
      <c r="AA70" s="371"/>
      <c r="AB70" s="371"/>
      <c r="AC70" s="370"/>
      <c r="AD70" s="373">
        <f t="shared" ref="AD70:AD105" si="18">SUM(B70:AC70)</f>
        <v>70</v>
      </c>
      <c r="AE70" s="372"/>
      <c r="AF70" s="373">
        <f t="shared" si="17"/>
        <v>70</v>
      </c>
    </row>
    <row r="71" spans="1:32" s="367" customFormat="1" ht="14.25" customHeight="1" x14ac:dyDescent="0.2">
      <c r="A71" s="366">
        <v>53</v>
      </c>
      <c r="B71" s="371"/>
      <c r="C71" s="371"/>
      <c r="D71" s="384"/>
      <c r="E71" s="371">
        <v>70</v>
      </c>
      <c r="F71" s="371"/>
      <c r="G71" s="375"/>
      <c r="H71" s="371"/>
      <c r="I71" s="371"/>
      <c r="J71" s="371"/>
      <c r="K71" s="375"/>
      <c r="L71" s="371"/>
      <c r="M71" s="370">
        <v>54</v>
      </c>
      <c r="N71" s="375"/>
      <c r="O71" s="375"/>
      <c r="P71" s="371">
        <v>2</v>
      </c>
      <c r="Q71" s="371"/>
      <c r="R71" s="375"/>
      <c r="S71" s="370"/>
      <c r="T71" s="370"/>
      <c r="U71" s="370"/>
      <c r="V71" s="370"/>
      <c r="W71" s="370"/>
      <c r="X71" s="372"/>
      <c r="Y71" s="372"/>
      <c r="Z71" s="372"/>
      <c r="AA71" s="371"/>
      <c r="AB71" s="371"/>
      <c r="AC71" s="370"/>
      <c r="AD71" s="373">
        <f t="shared" si="18"/>
        <v>126</v>
      </c>
      <c r="AE71" s="372"/>
      <c r="AF71" s="373">
        <f t="shared" si="17"/>
        <v>126</v>
      </c>
    </row>
    <row r="72" spans="1:32" s="367" customFormat="1" ht="14.25" customHeight="1" x14ac:dyDescent="0.2">
      <c r="A72" s="366">
        <v>54</v>
      </c>
      <c r="B72" s="371"/>
      <c r="C72" s="371"/>
      <c r="D72" s="384"/>
      <c r="E72" s="371">
        <v>60</v>
      </c>
      <c r="F72" s="371"/>
      <c r="G72" s="375"/>
      <c r="H72" s="371"/>
      <c r="I72" s="371"/>
      <c r="J72" s="371"/>
      <c r="K72" s="375"/>
      <c r="L72" s="371"/>
      <c r="M72" s="370">
        <v>32</v>
      </c>
      <c r="N72" s="375"/>
      <c r="O72" s="375"/>
      <c r="P72" s="371">
        <v>1</v>
      </c>
      <c r="Q72" s="371"/>
      <c r="R72" s="375"/>
      <c r="S72" s="370"/>
      <c r="T72" s="370"/>
      <c r="U72" s="370"/>
      <c r="V72" s="370"/>
      <c r="W72" s="370"/>
      <c r="X72" s="372"/>
      <c r="Y72" s="372"/>
      <c r="Z72" s="372"/>
      <c r="AA72" s="371"/>
      <c r="AB72" s="371"/>
      <c r="AC72" s="370"/>
      <c r="AD72" s="373">
        <f t="shared" si="18"/>
        <v>93</v>
      </c>
      <c r="AE72" s="372"/>
      <c r="AF72" s="373">
        <f t="shared" si="17"/>
        <v>93</v>
      </c>
    </row>
    <row r="73" spans="1:32" s="367" customFormat="1" ht="14.25" customHeight="1" x14ac:dyDescent="0.2">
      <c r="A73" s="366">
        <v>55</v>
      </c>
      <c r="B73" s="371"/>
      <c r="C73" s="371"/>
      <c r="D73" s="384"/>
      <c r="E73" s="371">
        <v>256</v>
      </c>
      <c r="F73" s="371"/>
      <c r="G73" s="375"/>
      <c r="H73" s="371"/>
      <c r="I73" s="371"/>
      <c r="J73" s="371"/>
      <c r="K73" s="375"/>
      <c r="L73" s="371"/>
      <c r="M73" s="370">
        <v>10</v>
      </c>
      <c r="N73" s="375"/>
      <c r="O73" s="375"/>
      <c r="P73" s="371"/>
      <c r="Q73" s="371"/>
      <c r="R73" s="375"/>
      <c r="S73" s="371"/>
      <c r="T73" s="370"/>
      <c r="U73" s="370"/>
      <c r="V73" s="370"/>
      <c r="W73" s="370"/>
      <c r="X73" s="372"/>
      <c r="Y73" s="372"/>
      <c r="Z73" s="372"/>
      <c r="AA73" s="371"/>
      <c r="AB73" s="371">
        <v>3</v>
      </c>
      <c r="AC73" s="370"/>
      <c r="AD73" s="373">
        <f t="shared" si="18"/>
        <v>269</v>
      </c>
      <c r="AE73" s="372"/>
      <c r="AF73" s="373">
        <f t="shared" si="17"/>
        <v>269</v>
      </c>
    </row>
    <row r="74" spans="1:32" s="367" customFormat="1" ht="14.25" customHeight="1" x14ac:dyDescent="0.2">
      <c r="A74" s="366">
        <v>56</v>
      </c>
      <c r="B74" s="371"/>
      <c r="C74" s="371"/>
      <c r="D74" s="384"/>
      <c r="E74" s="371">
        <v>10</v>
      </c>
      <c r="F74" s="371"/>
      <c r="G74" s="375"/>
      <c r="H74" s="371"/>
      <c r="I74" s="371"/>
      <c r="J74" s="371"/>
      <c r="K74" s="375"/>
      <c r="L74" s="371"/>
      <c r="M74" s="370"/>
      <c r="N74" s="375"/>
      <c r="O74" s="375"/>
      <c r="P74" s="371"/>
      <c r="Q74" s="371"/>
      <c r="R74" s="375"/>
      <c r="S74" s="371"/>
      <c r="T74" s="370"/>
      <c r="U74" s="370"/>
      <c r="V74" s="370"/>
      <c r="W74" s="370"/>
      <c r="X74" s="372"/>
      <c r="Y74" s="372"/>
      <c r="Z74" s="372"/>
      <c r="AA74" s="371"/>
      <c r="AB74" s="371"/>
      <c r="AC74" s="370"/>
      <c r="AD74" s="373">
        <f t="shared" si="18"/>
        <v>10</v>
      </c>
      <c r="AE74" s="372"/>
      <c r="AF74" s="373">
        <f t="shared" si="17"/>
        <v>10</v>
      </c>
    </row>
    <row r="75" spans="1:32" s="367" customFormat="1" ht="14.25" customHeight="1" x14ac:dyDescent="0.2">
      <c r="A75" s="366">
        <v>57</v>
      </c>
      <c r="B75" s="370"/>
      <c r="C75" s="370"/>
      <c r="D75" s="384"/>
      <c r="E75" s="370">
        <v>799</v>
      </c>
      <c r="F75" s="370"/>
      <c r="G75" s="370"/>
      <c r="H75" s="370"/>
      <c r="I75" s="370"/>
      <c r="J75" s="370"/>
      <c r="K75" s="370"/>
      <c r="L75" s="370"/>
      <c r="M75" s="370">
        <v>57</v>
      </c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2"/>
      <c r="Y75" s="372"/>
      <c r="Z75" s="372"/>
      <c r="AA75" s="370"/>
      <c r="AB75" s="370">
        <v>14</v>
      </c>
      <c r="AC75" s="370"/>
      <c r="AD75" s="373">
        <f t="shared" si="18"/>
        <v>870</v>
      </c>
      <c r="AE75" s="372"/>
      <c r="AF75" s="373">
        <f t="shared" si="17"/>
        <v>870</v>
      </c>
    </row>
    <row r="76" spans="1:32" s="367" customFormat="1" ht="14.25" customHeight="1" x14ac:dyDescent="0.2">
      <c r="A76" s="366">
        <v>58</v>
      </c>
      <c r="B76" s="370">
        <v>15</v>
      </c>
      <c r="C76" s="370">
        <v>79</v>
      </c>
      <c r="D76" s="384"/>
      <c r="E76" s="370"/>
      <c r="F76" s="370"/>
      <c r="G76" s="370"/>
      <c r="H76" s="370"/>
      <c r="I76" s="370"/>
      <c r="J76" s="370"/>
      <c r="K76" s="370"/>
      <c r="L76" s="370"/>
      <c r="M76" s="370">
        <v>3</v>
      </c>
      <c r="N76" s="370">
        <v>20</v>
      </c>
      <c r="O76" s="370"/>
      <c r="P76" s="370">
        <v>6</v>
      </c>
      <c r="Q76" s="370"/>
      <c r="R76" s="370">
        <v>15</v>
      </c>
      <c r="S76" s="370">
        <v>10</v>
      </c>
      <c r="T76" s="370">
        <v>1</v>
      </c>
      <c r="U76" s="370">
        <v>5</v>
      </c>
      <c r="V76" s="370"/>
      <c r="W76" s="370"/>
      <c r="X76" s="372"/>
      <c r="Y76" s="372"/>
      <c r="Z76" s="372"/>
      <c r="AA76" s="370"/>
      <c r="AB76" s="370">
        <v>12</v>
      </c>
      <c r="AC76" s="370"/>
      <c r="AD76" s="373">
        <f t="shared" si="18"/>
        <v>166</v>
      </c>
      <c r="AE76" s="372"/>
      <c r="AF76" s="373">
        <f t="shared" si="17"/>
        <v>166</v>
      </c>
    </row>
    <row r="77" spans="1:32" s="367" customFormat="1" ht="14.25" customHeight="1" x14ac:dyDescent="0.2">
      <c r="A77" s="366">
        <v>59</v>
      </c>
      <c r="B77" s="370"/>
      <c r="C77" s="370"/>
      <c r="D77" s="384"/>
      <c r="E77" s="370">
        <v>400</v>
      </c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2"/>
      <c r="Y77" s="372"/>
      <c r="Z77" s="372"/>
      <c r="AA77" s="370"/>
      <c r="AB77" s="370"/>
      <c r="AC77" s="370"/>
      <c r="AD77" s="373">
        <f t="shared" si="18"/>
        <v>400</v>
      </c>
      <c r="AE77" s="372"/>
      <c r="AF77" s="373">
        <f t="shared" si="17"/>
        <v>400</v>
      </c>
    </row>
    <row r="78" spans="1:32" s="367" customFormat="1" ht="14.25" customHeight="1" x14ac:dyDescent="0.2">
      <c r="A78" s="366">
        <v>60</v>
      </c>
      <c r="B78" s="370"/>
      <c r="C78" s="370"/>
      <c r="D78" s="384"/>
      <c r="E78" s="370">
        <v>40</v>
      </c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2"/>
      <c r="Y78" s="372"/>
      <c r="Z78" s="372"/>
      <c r="AA78" s="370"/>
      <c r="AB78" s="370"/>
      <c r="AC78" s="370"/>
      <c r="AD78" s="373">
        <f t="shared" si="18"/>
        <v>40</v>
      </c>
      <c r="AE78" s="372"/>
      <c r="AF78" s="373">
        <f t="shared" si="17"/>
        <v>40</v>
      </c>
    </row>
    <row r="79" spans="1:32" s="367" customFormat="1" ht="14.25" customHeight="1" x14ac:dyDescent="0.2">
      <c r="A79" s="366">
        <v>61</v>
      </c>
      <c r="B79" s="370"/>
      <c r="C79" s="370"/>
      <c r="D79" s="384"/>
      <c r="E79" s="370">
        <v>22</v>
      </c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2"/>
      <c r="Y79" s="372"/>
      <c r="Z79" s="372"/>
      <c r="AA79" s="370"/>
      <c r="AB79" s="370"/>
      <c r="AC79" s="370"/>
      <c r="AD79" s="373">
        <f t="shared" si="18"/>
        <v>22</v>
      </c>
      <c r="AE79" s="372"/>
      <c r="AF79" s="373">
        <f t="shared" si="17"/>
        <v>22</v>
      </c>
    </row>
    <row r="80" spans="1:32" s="367" customFormat="1" ht="14.25" customHeight="1" x14ac:dyDescent="0.2">
      <c r="A80" s="366">
        <v>62</v>
      </c>
      <c r="B80" s="370"/>
      <c r="C80" s="370"/>
      <c r="D80" s="384"/>
      <c r="E80" s="370"/>
      <c r="F80" s="370"/>
      <c r="G80" s="370"/>
      <c r="H80" s="370"/>
      <c r="I80" s="37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2"/>
      <c r="Y80" s="372"/>
      <c r="Z80" s="372"/>
      <c r="AA80" s="370"/>
      <c r="AB80" s="370"/>
      <c r="AC80" s="370"/>
      <c r="AD80" s="373">
        <f t="shared" si="18"/>
        <v>0</v>
      </c>
      <c r="AE80" s="372"/>
      <c r="AF80" s="373">
        <f t="shared" si="17"/>
        <v>0</v>
      </c>
    </row>
    <row r="81" spans="1:32" s="367" customFormat="1" ht="14.25" customHeight="1" x14ac:dyDescent="0.2">
      <c r="A81" s="366">
        <v>63</v>
      </c>
      <c r="B81" s="370"/>
      <c r="C81" s="370"/>
      <c r="D81" s="384"/>
      <c r="E81" s="370">
        <v>20</v>
      </c>
      <c r="F81" s="370"/>
      <c r="G81" s="370"/>
      <c r="H81" s="370"/>
      <c r="I81" s="37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2"/>
      <c r="Y81" s="372"/>
      <c r="Z81" s="372"/>
      <c r="AA81" s="370"/>
      <c r="AB81" s="370"/>
      <c r="AC81" s="370"/>
      <c r="AD81" s="373">
        <f t="shared" si="18"/>
        <v>20</v>
      </c>
      <c r="AE81" s="372"/>
      <c r="AF81" s="373">
        <f t="shared" si="17"/>
        <v>20</v>
      </c>
    </row>
    <row r="82" spans="1:32" s="367" customFormat="1" ht="14.25" customHeight="1" x14ac:dyDescent="0.2">
      <c r="A82" s="366">
        <v>64</v>
      </c>
      <c r="B82" s="370"/>
      <c r="C82" s="370"/>
      <c r="D82" s="384"/>
      <c r="E82" s="370"/>
      <c r="F82" s="370"/>
      <c r="G82" s="370"/>
      <c r="H82" s="370"/>
      <c r="I82" s="37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2"/>
      <c r="Y82" s="372"/>
      <c r="Z82" s="372"/>
      <c r="AA82" s="370"/>
      <c r="AB82" s="370"/>
      <c r="AC82" s="370"/>
      <c r="AD82" s="373">
        <f t="shared" si="18"/>
        <v>0</v>
      </c>
      <c r="AE82" s="372"/>
      <c r="AF82" s="373">
        <f t="shared" si="17"/>
        <v>0</v>
      </c>
    </row>
    <row r="83" spans="1:32" s="364" customFormat="1" ht="19.5" customHeight="1" x14ac:dyDescent="0.2">
      <c r="A83" s="738" t="s">
        <v>522</v>
      </c>
      <c r="B83" s="368">
        <v>24</v>
      </c>
      <c r="C83" s="368">
        <v>0</v>
      </c>
      <c r="D83" s="368">
        <v>0</v>
      </c>
      <c r="E83" s="368">
        <v>0</v>
      </c>
      <c r="F83" s="368">
        <v>0</v>
      </c>
      <c r="G83" s="368">
        <v>0</v>
      </c>
      <c r="H83" s="368">
        <v>0</v>
      </c>
      <c r="I83" s="368">
        <v>4</v>
      </c>
      <c r="J83" s="368">
        <v>3</v>
      </c>
      <c r="K83" s="368">
        <v>0</v>
      </c>
      <c r="L83" s="368">
        <v>0</v>
      </c>
      <c r="M83" s="368">
        <v>0</v>
      </c>
      <c r="N83" s="368">
        <v>0</v>
      </c>
      <c r="O83" s="368">
        <v>0</v>
      </c>
      <c r="P83" s="368">
        <v>0</v>
      </c>
      <c r="Q83" s="368">
        <v>0</v>
      </c>
      <c r="R83" s="368">
        <v>0</v>
      </c>
      <c r="S83" s="368">
        <v>0</v>
      </c>
      <c r="T83" s="368">
        <v>0</v>
      </c>
      <c r="U83" s="368">
        <v>0</v>
      </c>
      <c r="V83" s="368">
        <v>0</v>
      </c>
      <c r="W83" s="368">
        <v>0</v>
      </c>
      <c r="X83" s="368">
        <v>0</v>
      </c>
      <c r="Y83" s="368">
        <v>0</v>
      </c>
      <c r="Z83" s="368">
        <v>0</v>
      </c>
      <c r="AA83" s="368">
        <v>0</v>
      </c>
      <c r="AB83" s="368">
        <v>0</v>
      </c>
      <c r="AC83" s="368">
        <v>0</v>
      </c>
      <c r="AD83" s="368">
        <f t="shared" si="18"/>
        <v>31</v>
      </c>
      <c r="AE83" s="368">
        <v>0</v>
      </c>
      <c r="AF83" s="368">
        <f t="shared" ref="AF83" si="19">AF84+AF85</f>
        <v>31</v>
      </c>
    </row>
    <row r="84" spans="1:32" s="367" customFormat="1" ht="15.75" customHeight="1" x14ac:dyDescent="0.2">
      <c r="A84" s="366">
        <v>65</v>
      </c>
      <c r="B84" s="371">
        <v>20</v>
      </c>
      <c r="C84" s="371"/>
      <c r="D84" s="371"/>
      <c r="E84" s="371"/>
      <c r="F84" s="371"/>
      <c r="G84" s="375"/>
      <c r="H84" s="371"/>
      <c r="I84" s="371">
        <v>4</v>
      </c>
      <c r="J84" s="371">
        <v>3</v>
      </c>
      <c r="K84" s="375"/>
      <c r="L84" s="371"/>
      <c r="M84" s="370"/>
      <c r="N84" s="375"/>
      <c r="O84" s="375"/>
      <c r="P84" s="371"/>
      <c r="Q84" s="371"/>
      <c r="R84" s="375"/>
      <c r="S84" s="371"/>
      <c r="T84" s="370"/>
      <c r="U84" s="370"/>
      <c r="V84" s="370"/>
      <c r="W84" s="370"/>
      <c r="X84" s="372"/>
      <c r="Y84" s="372"/>
      <c r="Z84" s="372"/>
      <c r="AA84" s="371"/>
      <c r="AB84" s="371"/>
      <c r="AC84" s="370"/>
      <c r="AD84" s="373">
        <f t="shared" si="18"/>
        <v>27</v>
      </c>
      <c r="AE84" s="372"/>
      <c r="AF84" s="373">
        <f>AD84+AE84</f>
        <v>27</v>
      </c>
    </row>
    <row r="85" spans="1:32" s="367" customFormat="1" ht="15.75" customHeight="1" x14ac:dyDescent="0.2">
      <c r="A85" s="742">
        <v>66</v>
      </c>
      <c r="B85" s="371">
        <v>4</v>
      </c>
      <c r="C85" s="371"/>
      <c r="D85" s="371"/>
      <c r="E85" s="371"/>
      <c r="F85" s="371"/>
      <c r="G85" s="375"/>
      <c r="H85" s="371"/>
      <c r="I85" s="371"/>
      <c r="J85" s="371"/>
      <c r="K85" s="375"/>
      <c r="L85" s="371"/>
      <c r="M85" s="370"/>
      <c r="N85" s="375"/>
      <c r="O85" s="375"/>
      <c r="P85" s="371"/>
      <c r="Q85" s="371"/>
      <c r="R85" s="375"/>
      <c r="S85" s="371"/>
      <c r="T85" s="370"/>
      <c r="U85" s="370"/>
      <c r="V85" s="370"/>
      <c r="W85" s="370"/>
      <c r="X85" s="372"/>
      <c r="Y85" s="372"/>
      <c r="Z85" s="372"/>
      <c r="AA85" s="371"/>
      <c r="AB85" s="371"/>
      <c r="AC85" s="370"/>
      <c r="AD85" s="373">
        <f t="shared" si="18"/>
        <v>4</v>
      </c>
      <c r="AE85" s="372"/>
      <c r="AF85" s="373">
        <f>AD85+AE85</f>
        <v>4</v>
      </c>
    </row>
    <row r="86" spans="1:32" s="364" customFormat="1" ht="24" customHeight="1" x14ac:dyDescent="0.2">
      <c r="A86" s="738" t="s">
        <v>523</v>
      </c>
      <c r="B86" s="368">
        <v>347</v>
      </c>
      <c r="C86" s="368">
        <v>176</v>
      </c>
      <c r="D86" s="368">
        <v>0</v>
      </c>
      <c r="E86" s="368">
        <v>0</v>
      </c>
      <c r="F86" s="368">
        <v>0</v>
      </c>
      <c r="G86" s="368">
        <v>0</v>
      </c>
      <c r="H86" s="368">
        <v>265</v>
      </c>
      <c r="I86" s="368">
        <v>69</v>
      </c>
      <c r="J86" s="368">
        <v>236</v>
      </c>
      <c r="K86" s="368">
        <v>0</v>
      </c>
      <c r="L86" s="368">
        <v>90</v>
      </c>
      <c r="M86" s="368">
        <v>220</v>
      </c>
      <c r="N86" s="368">
        <v>225</v>
      </c>
      <c r="O86" s="368">
        <v>0</v>
      </c>
      <c r="P86" s="368">
        <v>26</v>
      </c>
      <c r="Q86" s="368">
        <v>35</v>
      </c>
      <c r="R86" s="368">
        <v>77</v>
      </c>
      <c r="S86" s="368">
        <v>45</v>
      </c>
      <c r="T86" s="368">
        <v>0</v>
      </c>
      <c r="U86" s="368">
        <v>16</v>
      </c>
      <c r="V86" s="368">
        <v>10</v>
      </c>
      <c r="W86" s="368">
        <v>0</v>
      </c>
      <c r="X86" s="368">
        <v>0</v>
      </c>
      <c r="Y86" s="368">
        <v>0</v>
      </c>
      <c r="Z86" s="368">
        <v>0</v>
      </c>
      <c r="AA86" s="368">
        <v>0</v>
      </c>
      <c r="AB86" s="368">
        <v>0</v>
      </c>
      <c r="AC86" s="368">
        <v>36</v>
      </c>
      <c r="AD86" s="368">
        <f t="shared" si="18"/>
        <v>1873</v>
      </c>
      <c r="AE86" s="368">
        <v>0</v>
      </c>
      <c r="AF86" s="368">
        <f t="shared" ref="AF86" si="20">SUM(AF87:AF93)</f>
        <v>1873</v>
      </c>
    </row>
    <row r="87" spans="1:32" s="367" customFormat="1" ht="15.75" customHeight="1" x14ac:dyDescent="0.2">
      <c r="A87" s="743">
        <v>67</v>
      </c>
      <c r="B87" s="370">
        <v>85</v>
      </c>
      <c r="C87" s="370">
        <v>50</v>
      </c>
      <c r="D87" s="370"/>
      <c r="E87" s="370"/>
      <c r="F87" s="370"/>
      <c r="G87" s="370"/>
      <c r="H87" s="370">
        <v>42</v>
      </c>
      <c r="I87" s="370">
        <v>64</v>
      </c>
      <c r="J87" s="370">
        <v>222</v>
      </c>
      <c r="K87" s="370"/>
      <c r="L87" s="370">
        <v>67</v>
      </c>
      <c r="M87" s="370">
        <v>20</v>
      </c>
      <c r="N87" s="370">
        <v>60</v>
      </c>
      <c r="O87" s="370"/>
      <c r="P87" s="370">
        <v>16</v>
      </c>
      <c r="Q87" s="370"/>
      <c r="R87" s="370">
        <v>40</v>
      </c>
      <c r="S87" s="370">
        <v>10</v>
      </c>
      <c r="T87" s="370"/>
      <c r="U87" s="370">
        <v>5</v>
      </c>
      <c r="V87" s="370"/>
      <c r="W87" s="370"/>
      <c r="X87" s="372"/>
      <c r="Y87" s="372"/>
      <c r="Z87" s="372"/>
      <c r="AA87" s="370"/>
      <c r="AB87" s="370"/>
      <c r="AC87" s="370">
        <v>14</v>
      </c>
      <c r="AD87" s="373">
        <f t="shared" si="18"/>
        <v>695</v>
      </c>
      <c r="AE87" s="372"/>
      <c r="AF87" s="373">
        <f t="shared" ref="AF87:AF93" si="21">AD87+AE87</f>
        <v>695</v>
      </c>
    </row>
    <row r="88" spans="1:32" s="367" customFormat="1" ht="15.75" customHeight="1" x14ac:dyDescent="0.2">
      <c r="A88" s="743">
        <v>68</v>
      </c>
      <c r="B88" s="382">
        <v>16</v>
      </c>
      <c r="C88" s="370">
        <v>41</v>
      </c>
      <c r="D88" s="370"/>
      <c r="E88" s="370"/>
      <c r="F88" s="370"/>
      <c r="G88" s="370"/>
      <c r="H88" s="370"/>
      <c r="I88" s="370">
        <v>5</v>
      </c>
      <c r="J88" s="382">
        <v>4</v>
      </c>
      <c r="K88" s="370"/>
      <c r="L88" s="370">
        <v>20</v>
      </c>
      <c r="M88" s="370"/>
      <c r="N88" s="370">
        <v>45</v>
      </c>
      <c r="O88" s="370"/>
      <c r="P88" s="370">
        <v>10</v>
      </c>
      <c r="Q88" s="370">
        <v>35</v>
      </c>
      <c r="R88" s="370">
        <v>37</v>
      </c>
      <c r="S88" s="370">
        <v>35</v>
      </c>
      <c r="T88" s="370"/>
      <c r="U88" s="370">
        <v>11</v>
      </c>
      <c r="V88" s="370">
        <v>5</v>
      </c>
      <c r="W88" s="370"/>
      <c r="X88" s="372"/>
      <c r="Y88" s="372"/>
      <c r="Z88" s="372"/>
      <c r="AA88" s="370"/>
      <c r="AB88" s="370"/>
      <c r="AC88" s="370"/>
      <c r="AD88" s="373">
        <f t="shared" si="18"/>
        <v>264</v>
      </c>
      <c r="AE88" s="372"/>
      <c r="AF88" s="373">
        <f t="shared" si="21"/>
        <v>264</v>
      </c>
    </row>
    <row r="89" spans="1:32" s="367" customFormat="1" ht="15.75" customHeight="1" x14ac:dyDescent="0.2">
      <c r="A89" s="743">
        <v>69</v>
      </c>
      <c r="B89" s="370"/>
      <c r="C89" s="370">
        <v>28</v>
      </c>
      <c r="D89" s="370"/>
      <c r="E89" s="370"/>
      <c r="F89" s="370"/>
      <c r="G89" s="370"/>
      <c r="H89" s="370"/>
      <c r="I89" s="370"/>
      <c r="J89" s="370"/>
      <c r="K89" s="370"/>
      <c r="L89" s="370"/>
      <c r="M89" s="370">
        <v>20</v>
      </c>
      <c r="N89" s="370">
        <v>8</v>
      </c>
      <c r="O89" s="370"/>
      <c r="P89" s="370"/>
      <c r="Q89" s="370"/>
      <c r="R89" s="370"/>
      <c r="S89" s="370"/>
      <c r="T89" s="370"/>
      <c r="U89" s="370"/>
      <c r="V89" s="370">
        <v>5</v>
      </c>
      <c r="W89" s="370"/>
      <c r="X89" s="372"/>
      <c r="Y89" s="372"/>
      <c r="Z89" s="372"/>
      <c r="AA89" s="370"/>
      <c r="AB89" s="370"/>
      <c r="AC89" s="370">
        <v>22</v>
      </c>
      <c r="AD89" s="373">
        <f t="shared" si="18"/>
        <v>83</v>
      </c>
      <c r="AE89" s="372"/>
      <c r="AF89" s="373">
        <f t="shared" si="21"/>
        <v>83</v>
      </c>
    </row>
    <row r="90" spans="1:32" s="367" customFormat="1" ht="15.75" customHeight="1" x14ac:dyDescent="0.2">
      <c r="A90" s="743">
        <v>70</v>
      </c>
      <c r="B90" s="382">
        <v>246</v>
      </c>
      <c r="C90" s="370">
        <v>57</v>
      </c>
      <c r="D90" s="370"/>
      <c r="E90" s="370"/>
      <c r="F90" s="370"/>
      <c r="G90" s="380"/>
      <c r="H90" s="370">
        <v>223</v>
      </c>
      <c r="I90" s="370"/>
      <c r="J90" s="370"/>
      <c r="K90" s="380"/>
      <c r="L90" s="370"/>
      <c r="M90" s="370">
        <v>176</v>
      </c>
      <c r="N90" s="370">
        <v>112</v>
      </c>
      <c r="O90" s="370"/>
      <c r="P90" s="370"/>
      <c r="Q90" s="370"/>
      <c r="R90" s="380"/>
      <c r="S90" s="370"/>
      <c r="T90" s="370"/>
      <c r="U90" s="370"/>
      <c r="V90" s="370"/>
      <c r="W90" s="370"/>
      <c r="X90" s="372"/>
      <c r="Y90" s="372"/>
      <c r="Z90" s="372"/>
      <c r="AA90" s="370"/>
      <c r="AB90" s="370"/>
      <c r="AC90" s="370"/>
      <c r="AD90" s="373">
        <f t="shared" si="18"/>
        <v>814</v>
      </c>
      <c r="AE90" s="372"/>
      <c r="AF90" s="373">
        <f t="shared" si="21"/>
        <v>814</v>
      </c>
    </row>
    <row r="91" spans="1:32" s="367" customFormat="1" ht="15.75" customHeight="1" x14ac:dyDescent="0.2">
      <c r="A91" s="743">
        <v>71</v>
      </c>
      <c r="B91" s="370"/>
      <c r="C91" s="370"/>
      <c r="D91" s="370"/>
      <c r="E91" s="370"/>
      <c r="F91" s="370"/>
      <c r="G91" s="370"/>
      <c r="H91" s="370"/>
      <c r="I91" s="370"/>
      <c r="J91" s="370">
        <v>10</v>
      </c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2"/>
      <c r="Y91" s="372"/>
      <c r="Z91" s="372"/>
      <c r="AA91" s="370"/>
      <c r="AB91" s="370"/>
      <c r="AC91" s="370"/>
      <c r="AD91" s="373">
        <f t="shared" si="18"/>
        <v>10</v>
      </c>
      <c r="AE91" s="372"/>
      <c r="AF91" s="373">
        <f t="shared" si="21"/>
        <v>10</v>
      </c>
    </row>
    <row r="92" spans="1:32" s="367" customFormat="1" ht="15.75" customHeight="1" x14ac:dyDescent="0.2">
      <c r="A92" s="743">
        <v>72</v>
      </c>
      <c r="B92" s="370"/>
      <c r="C92" s="370"/>
      <c r="D92" s="370"/>
      <c r="E92" s="370"/>
      <c r="F92" s="370"/>
      <c r="G92" s="370"/>
      <c r="H92" s="370"/>
      <c r="I92" s="37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2"/>
      <c r="Y92" s="372"/>
      <c r="Z92" s="372"/>
      <c r="AA92" s="370"/>
      <c r="AB92" s="370"/>
      <c r="AC92" s="370"/>
      <c r="AD92" s="373">
        <f t="shared" si="18"/>
        <v>0</v>
      </c>
      <c r="AE92" s="372"/>
      <c r="AF92" s="373">
        <f t="shared" si="21"/>
        <v>0</v>
      </c>
    </row>
    <row r="93" spans="1:32" s="367" customFormat="1" ht="15.75" customHeight="1" x14ac:dyDescent="0.2">
      <c r="A93" s="743">
        <v>73</v>
      </c>
      <c r="B93" s="370"/>
      <c r="C93" s="370"/>
      <c r="D93" s="370"/>
      <c r="E93" s="370"/>
      <c r="F93" s="370"/>
      <c r="G93" s="370"/>
      <c r="H93" s="370"/>
      <c r="I93" s="370"/>
      <c r="J93" s="370"/>
      <c r="K93" s="370"/>
      <c r="L93" s="370">
        <v>3</v>
      </c>
      <c r="M93" s="370">
        <v>4</v>
      </c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2"/>
      <c r="Y93" s="372"/>
      <c r="Z93" s="372"/>
      <c r="AA93" s="370"/>
      <c r="AB93" s="370"/>
      <c r="AC93" s="370"/>
      <c r="AD93" s="373">
        <f t="shared" si="18"/>
        <v>7</v>
      </c>
      <c r="AE93" s="372"/>
      <c r="AF93" s="373">
        <f t="shared" si="21"/>
        <v>7</v>
      </c>
    </row>
    <row r="94" spans="1:32" s="364" customFormat="1" ht="18.75" customHeight="1" x14ac:dyDescent="0.2">
      <c r="A94" s="738" t="s">
        <v>524</v>
      </c>
      <c r="B94" s="368">
        <v>150</v>
      </c>
      <c r="C94" s="368">
        <v>0</v>
      </c>
      <c r="D94" s="368">
        <v>0</v>
      </c>
      <c r="E94" s="368">
        <v>0</v>
      </c>
      <c r="F94" s="368">
        <v>0</v>
      </c>
      <c r="G94" s="368">
        <v>0</v>
      </c>
      <c r="H94" s="368">
        <v>0</v>
      </c>
      <c r="I94" s="368">
        <v>124</v>
      </c>
      <c r="J94" s="368">
        <v>49</v>
      </c>
      <c r="K94" s="368">
        <v>9</v>
      </c>
      <c r="L94" s="368">
        <v>0</v>
      </c>
      <c r="M94" s="368">
        <v>0</v>
      </c>
      <c r="N94" s="368">
        <v>10</v>
      </c>
      <c r="O94" s="368">
        <v>0</v>
      </c>
      <c r="P94" s="368">
        <v>0</v>
      </c>
      <c r="Q94" s="368">
        <v>0</v>
      </c>
      <c r="R94" s="368">
        <v>0</v>
      </c>
      <c r="S94" s="368">
        <v>0</v>
      </c>
      <c r="T94" s="368">
        <v>0</v>
      </c>
      <c r="U94" s="368">
        <v>0</v>
      </c>
      <c r="V94" s="368">
        <v>0</v>
      </c>
      <c r="W94" s="368">
        <v>0</v>
      </c>
      <c r="X94" s="368">
        <v>0</v>
      </c>
      <c r="Y94" s="368">
        <v>0</v>
      </c>
      <c r="Z94" s="368">
        <v>0</v>
      </c>
      <c r="AA94" s="368">
        <v>41</v>
      </c>
      <c r="AB94" s="368">
        <v>0</v>
      </c>
      <c r="AC94" s="368">
        <v>25</v>
      </c>
      <c r="AD94" s="368">
        <f t="shared" si="18"/>
        <v>408</v>
      </c>
      <c r="AE94" s="368">
        <v>0</v>
      </c>
      <c r="AF94" s="368">
        <f t="shared" ref="AF94" si="22">SUM(AF95:AF97)</f>
        <v>408</v>
      </c>
    </row>
    <row r="95" spans="1:32" s="367" customFormat="1" ht="18" customHeight="1" x14ac:dyDescent="0.2">
      <c r="A95" s="366">
        <v>74</v>
      </c>
      <c r="B95" s="382">
        <v>130</v>
      </c>
      <c r="C95" s="370"/>
      <c r="D95" s="370"/>
      <c r="E95" s="370"/>
      <c r="F95" s="370"/>
      <c r="G95" s="370"/>
      <c r="H95" s="370"/>
      <c r="I95" s="370">
        <v>124</v>
      </c>
      <c r="J95" s="370">
        <v>49</v>
      </c>
      <c r="K95" s="370">
        <v>6</v>
      </c>
      <c r="L95" s="370"/>
      <c r="M95" s="370"/>
      <c r="N95" s="370">
        <v>10</v>
      </c>
      <c r="O95" s="370"/>
      <c r="P95" s="370"/>
      <c r="Q95" s="370"/>
      <c r="R95" s="370"/>
      <c r="S95" s="370"/>
      <c r="T95" s="370"/>
      <c r="U95" s="370"/>
      <c r="V95" s="370"/>
      <c r="W95" s="370"/>
      <c r="X95" s="372"/>
      <c r="Y95" s="372"/>
      <c r="Z95" s="372"/>
      <c r="AA95" s="370">
        <v>41</v>
      </c>
      <c r="AB95" s="370"/>
      <c r="AC95" s="370">
        <v>25</v>
      </c>
      <c r="AD95" s="373">
        <f t="shared" si="18"/>
        <v>385</v>
      </c>
      <c r="AE95" s="372"/>
      <c r="AF95" s="373">
        <f>AD95+AE95</f>
        <v>385</v>
      </c>
    </row>
    <row r="96" spans="1:32" s="367" customFormat="1" ht="12.75" customHeight="1" x14ac:dyDescent="0.2">
      <c r="A96" s="366">
        <v>75</v>
      </c>
      <c r="B96" s="382">
        <v>20</v>
      </c>
      <c r="C96" s="370"/>
      <c r="D96" s="370"/>
      <c r="E96" s="370"/>
      <c r="F96" s="370"/>
      <c r="G96" s="370"/>
      <c r="H96" s="370"/>
      <c r="I96" s="370"/>
      <c r="J96" s="370"/>
      <c r="K96" s="370">
        <v>3</v>
      </c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2"/>
      <c r="Y96" s="372"/>
      <c r="Z96" s="372"/>
      <c r="AA96" s="370"/>
      <c r="AB96" s="370"/>
      <c r="AC96" s="370"/>
      <c r="AD96" s="373">
        <f t="shared" si="18"/>
        <v>23</v>
      </c>
      <c r="AE96" s="372"/>
      <c r="AF96" s="373">
        <f>AD96+AE96</f>
        <v>23</v>
      </c>
    </row>
    <row r="97" spans="1:32" s="367" customFormat="1" ht="12.75" customHeight="1" x14ac:dyDescent="0.2">
      <c r="A97" s="366">
        <v>76</v>
      </c>
      <c r="B97" s="382"/>
      <c r="C97" s="370"/>
      <c r="D97" s="370"/>
      <c r="E97" s="370"/>
      <c r="F97" s="370"/>
      <c r="G97" s="370"/>
      <c r="H97" s="370"/>
      <c r="I97" s="37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2"/>
      <c r="Y97" s="372"/>
      <c r="Z97" s="372"/>
      <c r="AA97" s="370"/>
      <c r="AB97" s="370"/>
      <c r="AC97" s="370"/>
      <c r="AD97" s="373">
        <f t="shared" si="18"/>
        <v>0</v>
      </c>
      <c r="AE97" s="372"/>
      <c r="AF97" s="373">
        <f>AD97+AE97</f>
        <v>0</v>
      </c>
    </row>
    <row r="98" spans="1:32" s="367" customFormat="1" ht="12.75" customHeight="1" x14ac:dyDescent="0.2">
      <c r="A98" s="738" t="s">
        <v>525</v>
      </c>
      <c r="B98" s="387">
        <v>186</v>
      </c>
      <c r="C98" s="387">
        <v>0</v>
      </c>
      <c r="D98" s="387">
        <v>0</v>
      </c>
      <c r="E98" s="387">
        <v>0</v>
      </c>
      <c r="F98" s="387">
        <v>0</v>
      </c>
      <c r="G98" s="387">
        <v>0</v>
      </c>
      <c r="H98" s="387">
        <v>0</v>
      </c>
      <c r="I98" s="387">
        <v>14</v>
      </c>
      <c r="J98" s="387">
        <v>4</v>
      </c>
      <c r="K98" s="387">
        <v>0</v>
      </c>
      <c r="L98" s="387">
        <v>0</v>
      </c>
      <c r="M98" s="387">
        <v>0</v>
      </c>
      <c r="N98" s="387">
        <v>73</v>
      </c>
      <c r="O98" s="387">
        <v>0</v>
      </c>
      <c r="P98" s="387">
        <v>0</v>
      </c>
      <c r="Q98" s="387">
        <v>0</v>
      </c>
      <c r="R98" s="387">
        <v>0</v>
      </c>
      <c r="S98" s="387">
        <v>0</v>
      </c>
      <c r="T98" s="387">
        <v>0</v>
      </c>
      <c r="U98" s="387">
        <v>0</v>
      </c>
      <c r="V98" s="387">
        <v>0</v>
      </c>
      <c r="W98" s="387">
        <v>0</v>
      </c>
      <c r="X98" s="388">
        <v>0</v>
      </c>
      <c r="Y98" s="388">
        <v>0</v>
      </c>
      <c r="Z98" s="388">
        <v>0</v>
      </c>
      <c r="AA98" s="387">
        <v>25</v>
      </c>
      <c r="AB98" s="387">
        <v>0</v>
      </c>
      <c r="AC98" s="387">
        <v>0</v>
      </c>
      <c r="AD98" s="387">
        <f t="shared" si="18"/>
        <v>302</v>
      </c>
      <c r="AE98" s="388">
        <v>0</v>
      </c>
      <c r="AF98" s="387">
        <f t="shared" ref="AF98" si="23">SUM(AF99:AF100)</f>
        <v>302</v>
      </c>
    </row>
    <row r="99" spans="1:32" s="367" customFormat="1" ht="12.75" customHeight="1" x14ac:dyDescent="0.2">
      <c r="A99" s="366">
        <v>77</v>
      </c>
      <c r="B99" s="382">
        <v>156</v>
      </c>
      <c r="C99" s="370"/>
      <c r="D99" s="370"/>
      <c r="E99" s="370"/>
      <c r="F99" s="370"/>
      <c r="G99" s="370"/>
      <c r="H99" s="370"/>
      <c r="I99" s="370">
        <v>11</v>
      </c>
      <c r="J99" s="370">
        <v>4</v>
      </c>
      <c r="K99" s="370"/>
      <c r="L99" s="370"/>
      <c r="M99" s="370"/>
      <c r="N99" s="370">
        <v>70</v>
      </c>
      <c r="O99" s="370"/>
      <c r="P99" s="370"/>
      <c r="Q99" s="370"/>
      <c r="R99" s="370"/>
      <c r="S99" s="370"/>
      <c r="T99" s="370"/>
      <c r="U99" s="370"/>
      <c r="V99" s="370"/>
      <c r="W99" s="370"/>
      <c r="X99" s="372"/>
      <c r="Y99" s="372"/>
      <c r="Z99" s="372"/>
      <c r="AA99" s="370">
        <v>25</v>
      </c>
      <c r="AB99" s="370"/>
      <c r="AC99" s="370"/>
      <c r="AD99" s="373">
        <f t="shared" si="18"/>
        <v>266</v>
      </c>
      <c r="AE99" s="372"/>
      <c r="AF99" s="373">
        <f>AD99+AE99</f>
        <v>266</v>
      </c>
    </row>
    <row r="100" spans="1:32" s="367" customFormat="1" ht="12.75" customHeight="1" x14ac:dyDescent="0.2">
      <c r="A100" s="366">
        <v>78</v>
      </c>
      <c r="B100" s="382">
        <v>30</v>
      </c>
      <c r="C100" s="370"/>
      <c r="D100" s="370"/>
      <c r="E100" s="370"/>
      <c r="F100" s="370"/>
      <c r="G100" s="370"/>
      <c r="H100" s="370"/>
      <c r="I100" s="370">
        <v>3</v>
      </c>
      <c r="J100" s="370"/>
      <c r="K100" s="370"/>
      <c r="L100" s="370"/>
      <c r="M100" s="370"/>
      <c r="N100" s="370">
        <v>3</v>
      </c>
      <c r="O100" s="370"/>
      <c r="P100" s="370"/>
      <c r="Q100" s="370"/>
      <c r="R100" s="370"/>
      <c r="S100" s="370"/>
      <c r="T100" s="370"/>
      <c r="U100" s="370"/>
      <c r="V100" s="370"/>
      <c r="W100" s="370"/>
      <c r="X100" s="372"/>
      <c r="Y100" s="372"/>
      <c r="Z100" s="372"/>
      <c r="AA100" s="370"/>
      <c r="AB100" s="370"/>
      <c r="AC100" s="370"/>
      <c r="AD100" s="373">
        <f t="shared" si="18"/>
        <v>36</v>
      </c>
      <c r="AE100" s="372"/>
      <c r="AF100" s="373">
        <f>AD100+AE100</f>
        <v>36</v>
      </c>
    </row>
    <row r="101" spans="1:32" s="364" customFormat="1" ht="24.75" customHeight="1" x14ac:dyDescent="0.2">
      <c r="A101" s="738" t="s">
        <v>526</v>
      </c>
      <c r="B101" s="368">
        <v>0</v>
      </c>
      <c r="C101" s="368">
        <v>0</v>
      </c>
      <c r="D101" s="368">
        <v>0</v>
      </c>
      <c r="E101" s="368">
        <v>0</v>
      </c>
      <c r="F101" s="368">
        <v>0</v>
      </c>
      <c r="G101" s="368">
        <v>0</v>
      </c>
      <c r="H101" s="368">
        <v>0</v>
      </c>
      <c r="I101" s="368">
        <v>60</v>
      </c>
      <c r="J101" s="368">
        <v>0</v>
      </c>
      <c r="K101" s="368">
        <v>0</v>
      </c>
      <c r="L101" s="368">
        <v>0</v>
      </c>
      <c r="M101" s="368">
        <v>0</v>
      </c>
      <c r="N101" s="368">
        <v>51</v>
      </c>
      <c r="O101" s="368">
        <v>0</v>
      </c>
      <c r="P101" s="368">
        <v>0</v>
      </c>
      <c r="Q101" s="368">
        <v>0</v>
      </c>
      <c r="R101" s="368">
        <v>13</v>
      </c>
      <c r="S101" s="368">
        <v>0</v>
      </c>
      <c r="T101" s="368">
        <v>0</v>
      </c>
      <c r="U101" s="368">
        <v>0</v>
      </c>
      <c r="V101" s="368">
        <v>0</v>
      </c>
      <c r="W101" s="368">
        <v>0</v>
      </c>
      <c r="X101" s="368">
        <v>0</v>
      </c>
      <c r="Y101" s="368">
        <v>0</v>
      </c>
      <c r="Z101" s="368">
        <v>0</v>
      </c>
      <c r="AA101" s="368">
        <v>0</v>
      </c>
      <c r="AB101" s="368">
        <v>0</v>
      </c>
      <c r="AC101" s="368">
        <v>0</v>
      </c>
      <c r="AD101" s="368">
        <f t="shared" si="18"/>
        <v>124</v>
      </c>
      <c r="AE101" s="368">
        <v>0</v>
      </c>
      <c r="AF101" s="368">
        <f t="shared" ref="AF101" si="24">AF102</f>
        <v>124</v>
      </c>
    </row>
    <row r="102" spans="1:32" s="367" customFormat="1" ht="16.5" customHeight="1" x14ac:dyDescent="0.2">
      <c r="A102" s="366">
        <v>79</v>
      </c>
      <c r="B102" s="370"/>
      <c r="C102" s="370"/>
      <c r="D102" s="370"/>
      <c r="E102" s="370"/>
      <c r="F102" s="370"/>
      <c r="G102" s="370"/>
      <c r="H102" s="370"/>
      <c r="I102" s="370">
        <v>60</v>
      </c>
      <c r="J102" s="370"/>
      <c r="K102" s="370"/>
      <c r="L102" s="370"/>
      <c r="M102" s="370"/>
      <c r="N102" s="370">
        <v>51</v>
      </c>
      <c r="O102" s="370"/>
      <c r="P102" s="370"/>
      <c r="Q102" s="370"/>
      <c r="R102" s="370">
        <v>13</v>
      </c>
      <c r="S102" s="370"/>
      <c r="T102" s="370"/>
      <c r="U102" s="370"/>
      <c r="V102" s="370"/>
      <c r="W102" s="370"/>
      <c r="X102" s="372"/>
      <c r="Y102" s="372"/>
      <c r="Z102" s="372"/>
      <c r="AA102" s="370"/>
      <c r="AB102" s="370"/>
      <c r="AC102" s="370"/>
      <c r="AD102" s="373">
        <f t="shared" si="18"/>
        <v>124</v>
      </c>
      <c r="AE102" s="372"/>
      <c r="AF102" s="373">
        <f>AD102+AE102</f>
        <v>124</v>
      </c>
    </row>
    <row r="103" spans="1:32" s="364" customFormat="1" ht="18.75" customHeight="1" x14ac:dyDescent="0.2">
      <c r="A103" s="738" t="s">
        <v>527</v>
      </c>
      <c r="B103" s="368">
        <v>10</v>
      </c>
      <c r="C103" s="368">
        <v>0</v>
      </c>
      <c r="D103" s="368">
        <v>0</v>
      </c>
      <c r="E103" s="368">
        <v>0</v>
      </c>
      <c r="F103" s="368">
        <v>0</v>
      </c>
      <c r="G103" s="368">
        <v>0</v>
      </c>
      <c r="H103" s="368">
        <v>0</v>
      </c>
      <c r="I103" s="368">
        <v>82</v>
      </c>
      <c r="J103" s="368">
        <v>0</v>
      </c>
      <c r="K103" s="368">
        <v>0</v>
      </c>
      <c r="L103" s="368">
        <v>0</v>
      </c>
      <c r="M103" s="368">
        <v>0</v>
      </c>
      <c r="N103" s="368">
        <v>10</v>
      </c>
      <c r="O103" s="368">
        <v>0</v>
      </c>
      <c r="P103" s="368">
        <v>0</v>
      </c>
      <c r="Q103" s="368">
        <v>0</v>
      </c>
      <c r="R103" s="368">
        <v>0</v>
      </c>
      <c r="S103" s="368">
        <v>0</v>
      </c>
      <c r="T103" s="368">
        <v>0</v>
      </c>
      <c r="U103" s="368">
        <v>0</v>
      </c>
      <c r="V103" s="368">
        <v>0</v>
      </c>
      <c r="W103" s="368">
        <v>0</v>
      </c>
      <c r="X103" s="368">
        <v>0</v>
      </c>
      <c r="Y103" s="368">
        <v>0</v>
      </c>
      <c r="Z103" s="368">
        <v>0</v>
      </c>
      <c r="AA103" s="368">
        <v>0</v>
      </c>
      <c r="AB103" s="368">
        <v>0</v>
      </c>
      <c r="AC103" s="368">
        <v>0</v>
      </c>
      <c r="AD103" s="368">
        <f t="shared" si="18"/>
        <v>102</v>
      </c>
      <c r="AE103" s="368">
        <v>0</v>
      </c>
      <c r="AF103" s="368">
        <f t="shared" ref="AF103" si="25">AF104+AF105</f>
        <v>102</v>
      </c>
    </row>
    <row r="104" spans="1:32" s="367" customFormat="1" ht="15.75" customHeight="1" x14ac:dyDescent="0.2">
      <c r="A104" s="366">
        <v>80</v>
      </c>
      <c r="B104" s="370">
        <v>10</v>
      </c>
      <c r="C104" s="370"/>
      <c r="D104" s="370"/>
      <c r="E104" s="370"/>
      <c r="F104" s="370"/>
      <c r="G104" s="370"/>
      <c r="H104" s="370"/>
      <c r="I104" s="370">
        <v>82</v>
      </c>
      <c r="J104" s="370"/>
      <c r="K104" s="370"/>
      <c r="L104" s="370"/>
      <c r="M104" s="370"/>
      <c r="N104" s="370">
        <v>10</v>
      </c>
      <c r="O104" s="370"/>
      <c r="P104" s="370"/>
      <c r="Q104" s="370"/>
      <c r="R104" s="370"/>
      <c r="S104" s="370"/>
      <c r="T104" s="370"/>
      <c r="U104" s="370"/>
      <c r="V104" s="370"/>
      <c r="W104" s="370"/>
      <c r="X104" s="372"/>
      <c r="Y104" s="372"/>
      <c r="Z104" s="372"/>
      <c r="AA104" s="370"/>
      <c r="AB104" s="370"/>
      <c r="AC104" s="370"/>
      <c r="AD104" s="373">
        <f t="shared" si="18"/>
        <v>102</v>
      </c>
      <c r="AE104" s="372"/>
      <c r="AF104" s="373">
        <f>AD104+AE104</f>
        <v>102</v>
      </c>
    </row>
    <row r="105" spans="1:32" s="367" customFormat="1" ht="17.25" customHeight="1" x14ac:dyDescent="0.2">
      <c r="A105" s="366">
        <v>81</v>
      </c>
      <c r="B105" s="370"/>
      <c r="C105" s="370"/>
      <c r="D105" s="370"/>
      <c r="E105" s="370"/>
      <c r="F105" s="370"/>
      <c r="G105" s="370"/>
      <c r="H105" s="370"/>
      <c r="I105" s="37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2"/>
      <c r="Y105" s="372"/>
      <c r="Z105" s="372"/>
      <c r="AA105" s="370"/>
      <c r="AB105" s="370"/>
      <c r="AC105" s="370"/>
      <c r="AD105" s="373">
        <f t="shared" si="18"/>
        <v>0</v>
      </c>
      <c r="AE105" s="372"/>
      <c r="AF105" s="373">
        <f>AD105+AE105</f>
        <v>0</v>
      </c>
    </row>
    <row r="106" spans="1:32" s="364" customFormat="1" ht="18.75" customHeight="1" x14ac:dyDescent="0.2">
      <c r="A106" s="739" t="s">
        <v>331</v>
      </c>
      <c r="B106" s="389">
        <f>B5+B10+B12+B15+B17+B19+B22+B29+B32+B40+B44+B58+B60+B83+B86+B94+B98+B101+B103+B49</f>
        <v>3027</v>
      </c>
      <c r="C106" s="389">
        <f t="shared" ref="C106:AF106" si="26">C5+C10+C12+C15+C17+C19+C22+C29+C32+C40+C44+C58+C60+C83+C86+C94+C98+C101+C103+C49</f>
        <v>1160</v>
      </c>
      <c r="D106" s="389">
        <f t="shared" si="26"/>
        <v>872</v>
      </c>
      <c r="E106" s="389">
        <f t="shared" si="26"/>
        <v>3588</v>
      </c>
      <c r="F106" s="389">
        <f t="shared" si="26"/>
        <v>1773</v>
      </c>
      <c r="G106" s="389">
        <f t="shared" si="26"/>
        <v>52</v>
      </c>
      <c r="H106" s="389">
        <f t="shared" si="26"/>
        <v>265</v>
      </c>
      <c r="I106" s="389">
        <f t="shared" si="26"/>
        <v>1131</v>
      </c>
      <c r="J106" s="389">
        <f t="shared" si="26"/>
        <v>381</v>
      </c>
      <c r="K106" s="389">
        <f t="shared" si="26"/>
        <v>1296</v>
      </c>
      <c r="L106" s="389">
        <f t="shared" si="26"/>
        <v>375</v>
      </c>
      <c r="M106" s="389">
        <f t="shared" si="26"/>
        <v>1032</v>
      </c>
      <c r="N106" s="389">
        <f t="shared" si="26"/>
        <v>1135</v>
      </c>
      <c r="O106" s="389">
        <f t="shared" si="26"/>
        <v>115</v>
      </c>
      <c r="P106" s="389">
        <f t="shared" si="26"/>
        <v>261</v>
      </c>
      <c r="Q106" s="389">
        <f t="shared" si="26"/>
        <v>511</v>
      </c>
      <c r="R106" s="389">
        <f t="shared" si="26"/>
        <v>1189</v>
      </c>
      <c r="S106" s="389">
        <f t="shared" si="26"/>
        <v>195</v>
      </c>
      <c r="T106" s="389">
        <f t="shared" si="26"/>
        <v>349</v>
      </c>
      <c r="U106" s="389">
        <f t="shared" si="26"/>
        <v>209</v>
      </c>
      <c r="V106" s="389">
        <f t="shared" si="26"/>
        <v>10</v>
      </c>
      <c r="W106" s="389">
        <f t="shared" si="26"/>
        <v>134</v>
      </c>
      <c r="X106" s="389">
        <f t="shared" si="26"/>
        <v>129</v>
      </c>
      <c r="Y106" s="389">
        <f t="shared" si="26"/>
        <v>94</v>
      </c>
      <c r="Z106" s="389">
        <f t="shared" si="26"/>
        <v>90</v>
      </c>
      <c r="AA106" s="389">
        <f t="shared" si="26"/>
        <v>269</v>
      </c>
      <c r="AB106" s="389">
        <f t="shared" si="26"/>
        <v>575</v>
      </c>
      <c r="AC106" s="389">
        <f t="shared" si="26"/>
        <v>93</v>
      </c>
      <c r="AD106" s="389">
        <f t="shared" si="26"/>
        <v>20310</v>
      </c>
      <c r="AE106" s="389">
        <f t="shared" si="26"/>
        <v>15</v>
      </c>
      <c r="AF106" s="389">
        <f t="shared" si="26"/>
        <v>20325</v>
      </c>
    </row>
    <row r="107" spans="1:32" s="391" customFormat="1" ht="15.75" x14ac:dyDescent="0.25">
      <c r="A107" s="745"/>
      <c r="B107" s="393"/>
      <c r="C107" s="393"/>
      <c r="D107" s="393"/>
      <c r="E107" s="393"/>
      <c r="F107" s="393"/>
      <c r="G107" s="392"/>
      <c r="H107" s="393"/>
      <c r="I107" s="390"/>
      <c r="J107" s="390"/>
      <c r="L107" s="390"/>
      <c r="N107" s="394"/>
      <c r="P107" s="390"/>
      <c r="Q107" s="390"/>
      <c r="S107" s="390"/>
      <c r="X107" s="390"/>
      <c r="Z107" s="390"/>
      <c r="AA107" s="390"/>
      <c r="AB107" s="390"/>
      <c r="AE107" s="390"/>
      <c r="AF107" s="390"/>
    </row>
    <row r="108" spans="1:32" s="391" customFormat="1" ht="15.75" x14ac:dyDescent="0.25">
      <c r="A108" s="745"/>
      <c r="B108" s="393"/>
      <c r="C108" s="393"/>
      <c r="D108" s="393"/>
      <c r="E108" s="393"/>
      <c r="F108" s="393"/>
      <c r="G108" s="392"/>
      <c r="H108" s="393"/>
      <c r="I108" s="390"/>
      <c r="J108" s="390"/>
      <c r="L108" s="390"/>
      <c r="N108" s="394"/>
      <c r="P108" s="390"/>
      <c r="Q108" s="390"/>
      <c r="S108" s="390"/>
      <c r="X108" s="390"/>
      <c r="Z108" s="390"/>
      <c r="AA108" s="390"/>
      <c r="AB108" s="390"/>
      <c r="AE108" s="390"/>
      <c r="AF108" s="390"/>
    </row>
    <row r="109" spans="1:32" s="391" customFormat="1" ht="15.75" x14ac:dyDescent="0.25">
      <c r="A109" s="745"/>
      <c r="B109" s="393"/>
      <c r="C109" s="393"/>
      <c r="D109" s="393"/>
      <c r="E109" s="393"/>
      <c r="F109" s="393"/>
      <c r="G109" s="392"/>
      <c r="H109" s="393"/>
      <c r="I109" s="390"/>
      <c r="J109" s="390"/>
      <c r="L109" s="390"/>
      <c r="N109" s="394"/>
      <c r="P109" s="390"/>
      <c r="Q109" s="390"/>
      <c r="S109" s="390"/>
      <c r="X109" s="390"/>
      <c r="Z109" s="390"/>
      <c r="AA109" s="390"/>
      <c r="AB109" s="390"/>
      <c r="AE109" s="390"/>
      <c r="AF109" s="390"/>
    </row>
    <row r="110" spans="1:32" ht="15.75" x14ac:dyDescent="0.25">
      <c r="A110" s="745"/>
      <c r="B110" s="393"/>
      <c r="C110" s="393"/>
      <c r="D110" s="393"/>
      <c r="E110" s="393"/>
      <c r="F110" s="393"/>
      <c r="G110" s="392"/>
      <c r="H110" s="393"/>
    </row>
    <row r="111" spans="1:32" ht="15.75" x14ac:dyDescent="0.25">
      <c r="A111" s="745"/>
      <c r="B111" s="393"/>
      <c r="C111" s="393"/>
      <c r="D111" s="393"/>
      <c r="E111" s="393"/>
      <c r="F111" s="393"/>
      <c r="G111" s="392"/>
      <c r="H111" s="393"/>
    </row>
  </sheetData>
  <autoFilter ref="A4:AG97" xr:uid="{00000000-0009-0000-0000-000001000000}"/>
  <mergeCells count="2">
    <mergeCell ref="A2:A3"/>
    <mergeCell ref="A1:AF1"/>
  </mergeCells>
  <pageMargins left="0" right="0" top="0" bottom="0" header="0.70866141732283472" footer="0.31496062992125984"/>
  <pageSetup paperSize="9" scale="65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4"/>
  <sheetViews>
    <sheetView workbookViewId="0">
      <selection activeCell="B6" sqref="B6:C6"/>
    </sheetView>
  </sheetViews>
  <sheetFormatPr defaultRowHeight="12.75" x14ac:dyDescent="0.25"/>
  <cols>
    <col min="1" max="1" width="5.85546875" style="76" customWidth="1"/>
    <col min="2" max="2" width="10.140625" style="76" customWidth="1"/>
    <col min="3" max="3" width="47" style="89" customWidth="1"/>
    <col min="4" max="4" width="16.28515625" style="76" customWidth="1"/>
    <col min="5" max="5" width="13.7109375" style="76" customWidth="1"/>
    <col min="6" max="16384" width="9.140625" style="76"/>
  </cols>
  <sheetData>
    <row r="1" spans="1:7" ht="33.75" customHeight="1" x14ac:dyDescent="0.25">
      <c r="A1" s="1203" t="s">
        <v>332</v>
      </c>
      <c r="B1" s="1204"/>
      <c r="C1" s="1204"/>
      <c r="D1" s="1204"/>
      <c r="E1" s="1204"/>
      <c r="F1" s="75"/>
      <c r="G1" s="75"/>
    </row>
    <row r="3" spans="1:7" ht="33.75" customHeight="1" x14ac:dyDescent="0.25">
      <c r="A3" s="77" t="s">
        <v>0</v>
      </c>
      <c r="B3" s="77" t="s">
        <v>1</v>
      </c>
      <c r="C3" s="77" t="s">
        <v>93</v>
      </c>
      <c r="D3" s="77" t="s">
        <v>333</v>
      </c>
      <c r="E3" s="77" t="s">
        <v>334</v>
      </c>
    </row>
    <row r="4" spans="1:7" x14ac:dyDescent="0.25">
      <c r="A4" s="78">
        <v>1</v>
      </c>
      <c r="B4" s="78">
        <v>2</v>
      </c>
      <c r="C4" s="78">
        <v>3</v>
      </c>
      <c r="D4" s="78">
        <v>4</v>
      </c>
      <c r="E4" s="78">
        <v>5</v>
      </c>
    </row>
    <row r="5" spans="1:7" ht="42" customHeight="1" x14ac:dyDescent="0.25">
      <c r="A5" s="1205" t="s">
        <v>730</v>
      </c>
      <c r="B5" s="1205"/>
      <c r="C5" s="1205"/>
      <c r="D5" s="79">
        <v>3881</v>
      </c>
      <c r="E5" s="80"/>
    </row>
    <row r="6" spans="1:7" x14ac:dyDescent="0.25">
      <c r="A6" s="689">
        <v>1</v>
      </c>
      <c r="B6" s="224" t="s">
        <v>780</v>
      </c>
      <c r="C6" s="220" t="s">
        <v>737</v>
      </c>
      <c r="D6" s="82">
        <v>2440</v>
      </c>
      <c r="E6" s="81"/>
    </row>
    <row r="7" spans="1:7" x14ac:dyDescent="0.25">
      <c r="A7" s="689">
        <v>2</v>
      </c>
      <c r="B7" s="690">
        <v>20233</v>
      </c>
      <c r="C7" s="83" t="s">
        <v>287</v>
      </c>
      <c r="D7" s="82">
        <v>1441</v>
      </c>
      <c r="E7" s="81"/>
    </row>
    <row r="8" spans="1:7" ht="29.25" customHeight="1" x14ac:dyDescent="0.25">
      <c r="A8" s="1205" t="s">
        <v>731</v>
      </c>
      <c r="B8" s="1205"/>
      <c r="C8" s="1205"/>
      <c r="D8" s="78"/>
      <c r="E8" s="84">
        <v>363</v>
      </c>
    </row>
    <row r="9" spans="1:7" x14ac:dyDescent="0.25">
      <c r="A9" s="1206">
        <v>1</v>
      </c>
      <c r="B9" s="1207">
        <v>22134</v>
      </c>
      <c r="C9" s="83" t="s">
        <v>310</v>
      </c>
      <c r="D9" s="85"/>
      <c r="E9" s="81"/>
    </row>
    <row r="10" spans="1:7" x14ac:dyDescent="0.25">
      <c r="A10" s="1206"/>
      <c r="B10" s="1207"/>
      <c r="C10" s="86" t="s">
        <v>335</v>
      </c>
      <c r="D10" s="78"/>
      <c r="E10" s="78">
        <v>57</v>
      </c>
    </row>
    <row r="11" spans="1:7" x14ac:dyDescent="0.25">
      <c r="A11" s="1206"/>
      <c r="B11" s="1207"/>
      <c r="C11" s="86" t="s">
        <v>336</v>
      </c>
      <c r="D11" s="78"/>
      <c r="E11" s="78">
        <v>306</v>
      </c>
    </row>
    <row r="12" spans="1:7" x14ac:dyDescent="0.2">
      <c r="A12" s="87"/>
      <c r="B12" s="88"/>
      <c r="C12" s="88"/>
      <c r="D12" s="88"/>
      <c r="E12" s="88"/>
    </row>
    <row r="13" spans="1:7" x14ac:dyDescent="0.25">
      <c r="D13" s="90"/>
      <c r="E13" s="90"/>
    </row>
    <row r="14" spans="1:7" x14ac:dyDescent="0.25">
      <c r="D14" s="90"/>
      <c r="E14" s="90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153"/>
  <sheetViews>
    <sheetView zoomScale="90" zoomScaleNormal="90" workbookViewId="0">
      <pane xSplit="3" ySplit="7" topLeftCell="D107" activePane="bottomRight" state="frozen"/>
      <selection pane="topRight" activeCell="D1" sqref="D1"/>
      <selection pane="bottomLeft" activeCell="A9" sqref="A9"/>
      <selection pane="bottomRight" activeCell="B121" sqref="B121:C121"/>
    </sheetView>
  </sheetViews>
  <sheetFormatPr defaultRowHeight="12.75" x14ac:dyDescent="0.2"/>
  <cols>
    <col min="1" max="1" width="5.42578125" style="15" customWidth="1"/>
    <col min="2" max="2" width="10.5703125" style="15" customWidth="1"/>
    <col min="3" max="3" width="44.7109375" style="15" customWidth="1"/>
    <col min="4" max="4" width="17" style="16" customWidth="1"/>
    <col min="5" max="5" width="13.7109375" style="17" customWidth="1"/>
    <col min="6" max="6" width="11" style="18" customWidth="1"/>
    <col min="7" max="7" width="10" style="17" customWidth="1"/>
    <col min="8" max="8" width="9.7109375" style="19" customWidth="1"/>
    <col min="9" max="9" width="10.85546875" style="17" customWidth="1"/>
    <col min="10" max="10" width="9.140625" style="17"/>
    <col min="11" max="16384" width="9.140625" style="15"/>
  </cols>
  <sheetData>
    <row r="1" spans="1:24" ht="15.75" customHeight="1" x14ac:dyDescent="0.2">
      <c r="A1" s="1219" t="s">
        <v>321</v>
      </c>
      <c r="B1" s="1220"/>
      <c r="C1" s="1220"/>
      <c r="D1" s="1220"/>
      <c r="E1" s="1220"/>
      <c r="F1" s="1220"/>
      <c r="G1" s="1220"/>
      <c r="H1" s="1220"/>
      <c r="I1" s="1220"/>
      <c r="J1" s="13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4" ht="13.5" thickBot="1" x14ac:dyDescent="0.25"/>
    <row r="3" spans="1:24" s="21" customFormat="1" ht="12.75" customHeight="1" x14ac:dyDescent="0.2">
      <c r="A3" s="1221" t="s">
        <v>0</v>
      </c>
      <c r="B3" s="1223" t="s">
        <v>1</v>
      </c>
      <c r="C3" s="1225" t="s">
        <v>93</v>
      </c>
      <c r="D3" s="1227" t="s">
        <v>322</v>
      </c>
      <c r="E3" s="1228"/>
      <c r="F3" s="1229" t="s">
        <v>323</v>
      </c>
      <c r="G3" s="1230"/>
      <c r="H3" s="1229" t="s">
        <v>324</v>
      </c>
      <c r="I3" s="1231"/>
      <c r="J3" s="20"/>
    </row>
    <row r="4" spans="1:24" s="21" customFormat="1" ht="36.75" customHeight="1" x14ac:dyDescent="0.2">
      <c r="A4" s="1222"/>
      <c r="B4" s="1224"/>
      <c r="C4" s="1226"/>
      <c r="D4" s="22" t="s">
        <v>325</v>
      </c>
      <c r="E4" s="23" t="s">
        <v>326</v>
      </c>
      <c r="F4" s="24" t="s">
        <v>327</v>
      </c>
      <c r="G4" s="25" t="s">
        <v>328</v>
      </c>
      <c r="H4" s="26" t="s">
        <v>329</v>
      </c>
      <c r="I4" s="27" t="s">
        <v>330</v>
      </c>
      <c r="J4" s="20"/>
    </row>
    <row r="5" spans="1:24" s="34" customFormat="1" x14ac:dyDescent="0.2">
      <c r="A5" s="1208" t="s">
        <v>331</v>
      </c>
      <c r="B5" s="1209"/>
      <c r="C5" s="1210"/>
      <c r="D5" s="28">
        <f t="shared" ref="D5:I5" si="0">SUM(D6:D7)</f>
        <v>301334</v>
      </c>
      <c r="E5" s="29">
        <f t="shared" si="0"/>
        <v>9338</v>
      </c>
      <c r="F5" s="30">
        <f t="shared" si="0"/>
        <v>794</v>
      </c>
      <c r="G5" s="31">
        <f t="shared" si="0"/>
        <v>11900</v>
      </c>
      <c r="H5" s="30">
        <f t="shared" si="0"/>
        <v>676</v>
      </c>
      <c r="I5" s="32">
        <f t="shared" si="0"/>
        <v>7440</v>
      </c>
      <c r="J5" s="33"/>
      <c r="K5" s="17"/>
    </row>
    <row r="6" spans="1:24" s="34" customFormat="1" x14ac:dyDescent="0.2">
      <c r="A6" s="1211" t="s">
        <v>106</v>
      </c>
      <c r="B6" s="1212"/>
      <c r="C6" s="1213"/>
      <c r="D6" s="28"/>
      <c r="E6" s="29"/>
      <c r="F6" s="30"/>
      <c r="G6" s="31"/>
      <c r="H6" s="30"/>
      <c r="I6" s="32"/>
      <c r="J6" s="33"/>
      <c r="K6" s="17"/>
    </row>
    <row r="7" spans="1:24" s="34" customFormat="1" x14ac:dyDescent="0.2">
      <c r="A7" s="1211" t="s">
        <v>108</v>
      </c>
      <c r="B7" s="1212"/>
      <c r="C7" s="1214"/>
      <c r="D7" s="107">
        <f t="shared" ref="D7:I7" si="1">SUM(D8:D145)-D86</f>
        <v>301334</v>
      </c>
      <c r="E7" s="136">
        <f t="shared" si="1"/>
        <v>9338</v>
      </c>
      <c r="F7" s="107">
        <f t="shared" si="1"/>
        <v>794</v>
      </c>
      <c r="G7" s="108">
        <f t="shared" si="1"/>
        <v>11900</v>
      </c>
      <c r="H7" s="130">
        <f t="shared" si="1"/>
        <v>676</v>
      </c>
      <c r="I7" s="108">
        <f t="shared" si="1"/>
        <v>7440</v>
      </c>
      <c r="J7" s="33"/>
      <c r="K7" s="17"/>
    </row>
    <row r="8" spans="1:24" x14ac:dyDescent="0.2">
      <c r="A8" s="692">
        <v>1</v>
      </c>
      <c r="B8" s="37" t="s">
        <v>109</v>
      </c>
      <c r="C8" s="111" t="s">
        <v>110</v>
      </c>
      <c r="D8" s="38">
        <v>1628</v>
      </c>
      <c r="E8" s="39"/>
      <c r="F8" s="40"/>
      <c r="G8" s="41"/>
      <c r="H8" s="42"/>
      <c r="I8" s="43"/>
      <c r="K8" s="17"/>
    </row>
    <row r="9" spans="1:24" x14ac:dyDescent="0.2">
      <c r="A9" s="692">
        <v>2</v>
      </c>
      <c r="B9" s="37" t="s">
        <v>111</v>
      </c>
      <c r="C9" s="111" t="s">
        <v>112</v>
      </c>
      <c r="D9" s="44">
        <v>2400</v>
      </c>
      <c r="E9" s="45"/>
      <c r="F9" s="40"/>
      <c r="G9" s="41"/>
      <c r="H9" s="42"/>
      <c r="I9" s="43"/>
      <c r="K9" s="17"/>
    </row>
    <row r="10" spans="1:24" x14ac:dyDescent="0.2">
      <c r="A10" s="692">
        <v>3</v>
      </c>
      <c r="B10" s="46" t="s">
        <v>80</v>
      </c>
      <c r="C10" s="111" t="s">
        <v>81</v>
      </c>
      <c r="D10" s="44">
        <v>4717</v>
      </c>
      <c r="E10" s="45"/>
      <c r="F10" s="40"/>
      <c r="G10" s="41"/>
      <c r="H10" s="42"/>
      <c r="I10" s="43"/>
      <c r="K10" s="17"/>
    </row>
    <row r="11" spans="1:24" x14ac:dyDescent="0.2">
      <c r="A11" s="692">
        <v>4</v>
      </c>
      <c r="B11" s="37" t="s">
        <v>113</v>
      </c>
      <c r="C11" s="111" t="s">
        <v>114</v>
      </c>
      <c r="D11" s="44">
        <v>1900</v>
      </c>
      <c r="E11" s="45"/>
      <c r="F11" s="40"/>
      <c r="G11" s="41"/>
      <c r="H11" s="42"/>
      <c r="I11" s="43"/>
      <c r="K11" s="17"/>
    </row>
    <row r="12" spans="1:24" ht="14.25" customHeight="1" x14ac:dyDescent="0.2">
      <c r="A12" s="692">
        <v>5</v>
      </c>
      <c r="B12" s="37" t="s">
        <v>115</v>
      </c>
      <c r="C12" s="111" t="s">
        <v>116</v>
      </c>
      <c r="D12" s="44">
        <v>1530</v>
      </c>
      <c r="E12" s="45"/>
      <c r="F12" s="40"/>
      <c r="G12" s="41"/>
      <c r="H12" s="42"/>
      <c r="I12" s="43"/>
      <c r="K12" s="17"/>
    </row>
    <row r="13" spans="1:24" x14ac:dyDescent="0.2">
      <c r="A13" s="692">
        <v>6</v>
      </c>
      <c r="B13" s="46" t="s">
        <v>117</v>
      </c>
      <c r="C13" s="111" t="s">
        <v>118</v>
      </c>
      <c r="D13" s="44">
        <v>10956</v>
      </c>
      <c r="E13" s="45">
        <v>81</v>
      </c>
      <c r="F13" s="40"/>
      <c r="G13" s="41"/>
      <c r="H13" s="47">
        <v>282</v>
      </c>
      <c r="I13" s="43">
        <v>3100</v>
      </c>
      <c r="K13" s="17"/>
    </row>
    <row r="14" spans="1:24" x14ac:dyDescent="0.2">
      <c r="A14" s="692">
        <v>7</v>
      </c>
      <c r="B14" s="48" t="s">
        <v>20</v>
      </c>
      <c r="C14" s="111" t="s">
        <v>21</v>
      </c>
      <c r="D14" s="44">
        <v>4500</v>
      </c>
      <c r="E14" s="45"/>
      <c r="F14" s="40"/>
      <c r="G14" s="41"/>
      <c r="H14" s="47"/>
      <c r="I14" s="43"/>
      <c r="K14" s="17"/>
    </row>
    <row r="15" spans="1:24" x14ac:dyDescent="0.2">
      <c r="A15" s="692">
        <v>8</v>
      </c>
      <c r="B15" s="46" t="s">
        <v>119</v>
      </c>
      <c r="C15" s="111" t="s">
        <v>120</v>
      </c>
      <c r="D15" s="44">
        <v>1926</v>
      </c>
      <c r="E15" s="45"/>
      <c r="F15" s="40"/>
      <c r="G15" s="41"/>
      <c r="H15" s="47"/>
      <c r="I15" s="43"/>
      <c r="K15" s="17"/>
    </row>
    <row r="16" spans="1:24" x14ac:dyDescent="0.2">
      <c r="A16" s="692">
        <v>9</v>
      </c>
      <c r="B16" s="46" t="s">
        <v>121</v>
      </c>
      <c r="C16" s="111" t="s">
        <v>122</v>
      </c>
      <c r="D16" s="44">
        <v>2369</v>
      </c>
      <c r="E16" s="45"/>
      <c r="F16" s="40"/>
      <c r="G16" s="41"/>
      <c r="H16" s="47"/>
      <c r="I16" s="43"/>
      <c r="K16" s="17"/>
    </row>
    <row r="17" spans="1:11" x14ac:dyDescent="0.2">
      <c r="A17" s="692">
        <v>10</v>
      </c>
      <c r="B17" s="46" t="s">
        <v>123</v>
      </c>
      <c r="C17" s="111" t="s">
        <v>124</v>
      </c>
      <c r="D17" s="44">
        <v>2344</v>
      </c>
      <c r="E17" s="45"/>
      <c r="F17" s="40"/>
      <c r="G17" s="41"/>
      <c r="H17" s="47"/>
      <c r="I17" s="43"/>
      <c r="K17" s="17"/>
    </row>
    <row r="18" spans="1:11" x14ac:dyDescent="0.2">
      <c r="A18" s="692">
        <v>11</v>
      </c>
      <c r="B18" s="46" t="s">
        <v>125</v>
      </c>
      <c r="C18" s="111" t="s">
        <v>126</v>
      </c>
      <c r="D18" s="44">
        <v>1675</v>
      </c>
      <c r="E18" s="45"/>
      <c r="F18" s="40"/>
      <c r="G18" s="41"/>
      <c r="H18" s="47"/>
      <c r="I18" s="43"/>
      <c r="K18" s="17"/>
    </row>
    <row r="19" spans="1:11" x14ac:dyDescent="0.2">
      <c r="A19" s="692">
        <v>12</v>
      </c>
      <c r="B19" s="46" t="s">
        <v>127</v>
      </c>
      <c r="C19" s="111" t="s">
        <v>128</v>
      </c>
      <c r="D19" s="44">
        <v>3183</v>
      </c>
      <c r="E19" s="45"/>
      <c r="F19" s="40"/>
      <c r="G19" s="41"/>
      <c r="H19" s="47"/>
      <c r="I19" s="43"/>
      <c r="K19" s="17"/>
    </row>
    <row r="20" spans="1:11" x14ac:dyDescent="0.2">
      <c r="A20" s="692">
        <v>13</v>
      </c>
      <c r="B20" s="49" t="s">
        <v>129</v>
      </c>
      <c r="C20" s="112" t="s">
        <v>130</v>
      </c>
      <c r="D20" s="44"/>
      <c r="E20" s="45"/>
      <c r="F20" s="40"/>
      <c r="G20" s="41"/>
      <c r="H20" s="47"/>
      <c r="I20" s="43"/>
      <c r="K20" s="17"/>
    </row>
    <row r="21" spans="1:11" x14ac:dyDescent="0.2">
      <c r="A21" s="692">
        <v>14</v>
      </c>
      <c r="B21" s="46" t="s">
        <v>131</v>
      </c>
      <c r="C21" s="111" t="s">
        <v>132</v>
      </c>
      <c r="D21" s="44">
        <v>2755</v>
      </c>
      <c r="E21" s="45"/>
      <c r="F21" s="40"/>
      <c r="G21" s="41"/>
      <c r="H21" s="47"/>
      <c r="I21" s="43"/>
      <c r="K21" s="17"/>
    </row>
    <row r="22" spans="1:11" x14ac:dyDescent="0.2">
      <c r="A22" s="692">
        <v>15</v>
      </c>
      <c r="B22" s="46" t="s">
        <v>133</v>
      </c>
      <c r="C22" s="111" t="s">
        <v>134</v>
      </c>
      <c r="D22" s="44">
        <v>4455</v>
      </c>
      <c r="E22" s="45"/>
      <c r="F22" s="40"/>
      <c r="G22" s="41"/>
      <c r="H22" s="47"/>
      <c r="I22" s="43"/>
      <c r="K22" s="17"/>
    </row>
    <row r="23" spans="1:11" x14ac:dyDescent="0.2">
      <c r="A23" s="692">
        <v>16</v>
      </c>
      <c r="B23" s="46" t="s">
        <v>135</v>
      </c>
      <c r="C23" s="111" t="s">
        <v>136</v>
      </c>
      <c r="D23" s="44">
        <v>3845</v>
      </c>
      <c r="E23" s="45"/>
      <c r="F23" s="40"/>
      <c r="G23" s="41"/>
      <c r="H23" s="47"/>
      <c r="I23" s="43"/>
      <c r="K23" s="17"/>
    </row>
    <row r="24" spans="1:11" x14ac:dyDescent="0.2">
      <c r="A24" s="692">
        <v>17</v>
      </c>
      <c r="B24" s="46" t="s">
        <v>30</v>
      </c>
      <c r="C24" s="111" t="s">
        <v>31</v>
      </c>
      <c r="D24" s="44">
        <v>10114</v>
      </c>
      <c r="E24" s="45">
        <v>81</v>
      </c>
      <c r="F24" s="40"/>
      <c r="G24" s="41"/>
      <c r="H24" s="47">
        <v>113</v>
      </c>
      <c r="I24" s="43">
        <v>1240</v>
      </c>
      <c r="K24" s="17"/>
    </row>
    <row r="25" spans="1:11" x14ac:dyDescent="0.2">
      <c r="A25" s="692">
        <v>18</v>
      </c>
      <c r="B25" s="37" t="s">
        <v>137</v>
      </c>
      <c r="C25" s="111" t="s">
        <v>138</v>
      </c>
      <c r="D25" s="44">
        <v>1051</v>
      </c>
      <c r="E25" s="45"/>
      <c r="F25" s="40"/>
      <c r="G25" s="41"/>
      <c r="H25" s="47"/>
      <c r="I25" s="43"/>
      <c r="K25" s="17"/>
    </row>
    <row r="26" spans="1:11" x14ac:dyDescent="0.2">
      <c r="A26" s="692">
        <v>19</v>
      </c>
      <c r="B26" s="37" t="s">
        <v>139</v>
      </c>
      <c r="C26" s="111" t="s">
        <v>140</v>
      </c>
      <c r="D26" s="44">
        <v>1970</v>
      </c>
      <c r="E26" s="45"/>
      <c r="F26" s="40"/>
      <c r="G26" s="41"/>
      <c r="H26" s="47"/>
      <c r="I26" s="43"/>
      <c r="K26" s="17"/>
    </row>
    <row r="27" spans="1:11" x14ac:dyDescent="0.2">
      <c r="A27" s="692">
        <v>20</v>
      </c>
      <c r="B27" s="37" t="s">
        <v>84</v>
      </c>
      <c r="C27" s="111" t="s">
        <v>85</v>
      </c>
      <c r="D27" s="44">
        <v>6944</v>
      </c>
      <c r="E27" s="45"/>
      <c r="F27" s="40"/>
      <c r="G27" s="41"/>
      <c r="H27" s="47">
        <v>28</v>
      </c>
      <c r="I27" s="43">
        <v>310</v>
      </c>
      <c r="K27" s="17"/>
    </row>
    <row r="28" spans="1:11" x14ac:dyDescent="0.2">
      <c r="A28" s="692">
        <v>21</v>
      </c>
      <c r="B28" s="37" t="s">
        <v>141</v>
      </c>
      <c r="C28" s="111" t="s">
        <v>142</v>
      </c>
      <c r="D28" s="44">
        <v>4592</v>
      </c>
      <c r="E28" s="45">
        <v>81</v>
      </c>
      <c r="F28" s="40"/>
      <c r="G28" s="41"/>
      <c r="H28" s="47"/>
      <c r="I28" s="43"/>
      <c r="K28" s="17"/>
    </row>
    <row r="29" spans="1:11" x14ac:dyDescent="0.2">
      <c r="A29" s="692">
        <v>22</v>
      </c>
      <c r="B29" s="46" t="s">
        <v>143</v>
      </c>
      <c r="C29" s="111" t="s">
        <v>144</v>
      </c>
      <c r="D29" s="44"/>
      <c r="E29" s="45"/>
      <c r="F29" s="40"/>
      <c r="G29" s="41"/>
      <c r="H29" s="42"/>
      <c r="I29" s="43"/>
      <c r="K29" s="17"/>
    </row>
    <row r="30" spans="1:11" x14ac:dyDescent="0.2">
      <c r="A30" s="692">
        <v>23</v>
      </c>
      <c r="B30" s="46" t="s">
        <v>145</v>
      </c>
      <c r="C30" s="111" t="s">
        <v>146</v>
      </c>
      <c r="D30" s="44"/>
      <c r="E30" s="45"/>
      <c r="F30" s="40"/>
      <c r="G30" s="41"/>
      <c r="H30" s="42"/>
      <c r="I30" s="43"/>
      <c r="K30" s="17"/>
    </row>
    <row r="31" spans="1:11" ht="12" customHeight="1" x14ac:dyDescent="0.2">
      <c r="A31" s="692">
        <v>24</v>
      </c>
      <c r="B31" s="46" t="s">
        <v>147</v>
      </c>
      <c r="C31" s="111" t="s">
        <v>148</v>
      </c>
      <c r="D31" s="44"/>
      <c r="E31" s="45"/>
      <c r="F31" s="40"/>
      <c r="G31" s="41"/>
      <c r="H31" s="42"/>
      <c r="I31" s="43"/>
      <c r="K31" s="17"/>
    </row>
    <row r="32" spans="1:11" x14ac:dyDescent="0.2">
      <c r="A32" s="692">
        <v>25</v>
      </c>
      <c r="B32" s="37" t="s">
        <v>149</v>
      </c>
      <c r="C32" s="111" t="s">
        <v>150</v>
      </c>
      <c r="D32" s="44">
        <v>6514</v>
      </c>
      <c r="E32" s="45"/>
      <c r="F32" s="40"/>
      <c r="G32" s="41"/>
      <c r="H32" s="42"/>
      <c r="I32" s="43"/>
      <c r="K32" s="17"/>
    </row>
    <row r="33" spans="1:11" x14ac:dyDescent="0.2">
      <c r="A33" s="692">
        <v>26</v>
      </c>
      <c r="B33" s="46" t="s">
        <v>151</v>
      </c>
      <c r="C33" s="111" t="s">
        <v>152</v>
      </c>
      <c r="D33" s="44"/>
      <c r="E33" s="45"/>
      <c r="F33" s="40"/>
      <c r="G33" s="41"/>
      <c r="H33" s="42"/>
      <c r="I33" s="43"/>
      <c r="K33" s="17"/>
    </row>
    <row r="34" spans="1:11" x14ac:dyDescent="0.2">
      <c r="A34" s="692">
        <v>27</v>
      </c>
      <c r="B34" s="37" t="s">
        <v>153</v>
      </c>
      <c r="C34" s="111" t="s">
        <v>154</v>
      </c>
      <c r="D34" s="44"/>
      <c r="E34" s="45"/>
      <c r="F34" s="40"/>
      <c r="G34" s="41"/>
      <c r="H34" s="42"/>
      <c r="I34" s="43"/>
      <c r="K34" s="17"/>
    </row>
    <row r="35" spans="1:11" ht="16.5" customHeight="1" x14ac:dyDescent="0.2">
      <c r="A35" s="692">
        <v>28</v>
      </c>
      <c r="B35" s="37" t="s">
        <v>155</v>
      </c>
      <c r="C35" s="172" t="s">
        <v>156</v>
      </c>
      <c r="D35" s="44"/>
      <c r="E35" s="45"/>
      <c r="F35" s="40"/>
      <c r="G35" s="41"/>
      <c r="H35" s="42"/>
      <c r="I35" s="43"/>
      <c r="K35" s="17"/>
    </row>
    <row r="36" spans="1:11" x14ac:dyDescent="0.2">
      <c r="A36" s="692">
        <v>29</v>
      </c>
      <c r="B36" s="46" t="s">
        <v>157</v>
      </c>
      <c r="C36" s="111" t="s">
        <v>158</v>
      </c>
      <c r="D36" s="44">
        <v>6325</v>
      </c>
      <c r="E36" s="45">
        <v>81</v>
      </c>
      <c r="F36" s="40"/>
      <c r="G36" s="41"/>
      <c r="H36" s="42"/>
      <c r="I36" s="43"/>
      <c r="K36" s="17"/>
    </row>
    <row r="37" spans="1:11" x14ac:dyDescent="0.2">
      <c r="A37" s="692">
        <v>30</v>
      </c>
      <c r="B37" s="37" t="s">
        <v>46</v>
      </c>
      <c r="C37" s="111" t="s">
        <v>47</v>
      </c>
      <c r="D37" s="44"/>
      <c r="E37" s="45"/>
      <c r="F37" s="40"/>
      <c r="G37" s="41"/>
      <c r="H37" s="42"/>
      <c r="I37" s="43"/>
      <c r="K37" s="17"/>
    </row>
    <row r="38" spans="1:11" x14ac:dyDescent="0.2">
      <c r="A38" s="692">
        <v>31</v>
      </c>
      <c r="B38" s="48" t="s">
        <v>159</v>
      </c>
      <c r="C38" s="111" t="s">
        <v>160</v>
      </c>
      <c r="D38" s="44">
        <v>2866</v>
      </c>
      <c r="E38" s="45"/>
      <c r="F38" s="40"/>
      <c r="G38" s="41"/>
      <c r="H38" s="42"/>
      <c r="I38" s="43"/>
      <c r="K38" s="17"/>
    </row>
    <row r="39" spans="1:11" x14ac:dyDescent="0.2">
      <c r="A39" s="692">
        <v>32</v>
      </c>
      <c r="B39" s="37" t="s">
        <v>58</v>
      </c>
      <c r="C39" s="111" t="s">
        <v>59</v>
      </c>
      <c r="D39" s="44">
        <v>8011</v>
      </c>
      <c r="E39" s="45"/>
      <c r="F39" s="40"/>
      <c r="G39" s="41"/>
      <c r="H39" s="42"/>
      <c r="I39" s="43"/>
      <c r="K39" s="17"/>
    </row>
    <row r="40" spans="1:11" x14ac:dyDescent="0.2">
      <c r="A40" s="692">
        <v>33</v>
      </c>
      <c r="B40" s="37" t="s">
        <v>161</v>
      </c>
      <c r="C40" s="111" t="s">
        <v>162</v>
      </c>
      <c r="D40" s="44">
        <v>2539</v>
      </c>
      <c r="E40" s="45"/>
      <c r="F40" s="40"/>
      <c r="G40" s="41"/>
      <c r="H40" s="42"/>
      <c r="I40" s="43"/>
      <c r="K40" s="17"/>
    </row>
    <row r="41" spans="1:11" x14ac:dyDescent="0.2">
      <c r="A41" s="692">
        <v>34</v>
      </c>
      <c r="B41" s="46" t="s">
        <v>82</v>
      </c>
      <c r="C41" s="111" t="s">
        <v>83</v>
      </c>
      <c r="D41" s="44">
        <v>5969</v>
      </c>
      <c r="E41" s="45"/>
      <c r="F41" s="40"/>
      <c r="G41" s="41"/>
      <c r="H41" s="42"/>
      <c r="I41" s="43"/>
      <c r="K41" s="17"/>
    </row>
    <row r="42" spans="1:11" x14ac:dyDescent="0.2">
      <c r="A42" s="692">
        <v>35</v>
      </c>
      <c r="B42" s="37" t="s">
        <v>163</v>
      </c>
      <c r="C42" s="111" t="s">
        <v>164</v>
      </c>
      <c r="D42" s="44">
        <v>2541</v>
      </c>
      <c r="E42" s="45"/>
      <c r="F42" s="40"/>
      <c r="G42" s="41"/>
      <c r="H42" s="42"/>
      <c r="I42" s="43"/>
      <c r="K42" s="17"/>
    </row>
    <row r="43" spans="1:11" x14ac:dyDescent="0.2">
      <c r="A43" s="692">
        <v>36</v>
      </c>
      <c r="B43" s="37" t="s">
        <v>165</v>
      </c>
      <c r="C43" s="111" t="s">
        <v>166</v>
      </c>
      <c r="D43" s="44">
        <v>1291</v>
      </c>
      <c r="E43" s="45"/>
      <c r="F43" s="40"/>
      <c r="G43" s="41"/>
      <c r="H43" s="42"/>
      <c r="I43" s="43"/>
      <c r="K43" s="17"/>
    </row>
    <row r="44" spans="1:11" x14ac:dyDescent="0.2">
      <c r="A44" s="692">
        <v>37</v>
      </c>
      <c r="B44" s="50" t="s">
        <v>86</v>
      </c>
      <c r="C44" s="113" t="s">
        <v>87</v>
      </c>
      <c r="D44" s="44">
        <v>2271</v>
      </c>
      <c r="E44" s="45"/>
      <c r="F44" s="40"/>
      <c r="G44" s="41"/>
      <c r="H44" s="42"/>
      <c r="I44" s="43"/>
      <c r="K44" s="17"/>
    </row>
    <row r="45" spans="1:11" x14ac:dyDescent="0.2">
      <c r="A45" s="692">
        <v>38</v>
      </c>
      <c r="B45" s="37" t="s">
        <v>167</v>
      </c>
      <c r="C45" s="111" t="s">
        <v>168</v>
      </c>
      <c r="D45" s="44">
        <v>2065</v>
      </c>
      <c r="E45" s="45"/>
      <c r="F45" s="40"/>
      <c r="G45" s="41"/>
      <c r="H45" s="42"/>
      <c r="I45" s="43"/>
      <c r="K45" s="17"/>
    </row>
    <row r="46" spans="1:11" x14ac:dyDescent="0.2">
      <c r="A46" s="692">
        <v>39</v>
      </c>
      <c r="B46" s="48" t="s">
        <v>169</v>
      </c>
      <c r="C46" s="111" t="s">
        <v>170</v>
      </c>
      <c r="D46" s="44"/>
      <c r="E46" s="45"/>
      <c r="F46" s="40"/>
      <c r="G46" s="41"/>
      <c r="H46" s="42"/>
      <c r="I46" s="43"/>
      <c r="K46" s="17"/>
    </row>
    <row r="47" spans="1:11" x14ac:dyDescent="0.2">
      <c r="A47" s="692">
        <v>40</v>
      </c>
      <c r="B47" s="46" t="s">
        <v>171</v>
      </c>
      <c r="C47" s="111" t="s">
        <v>172</v>
      </c>
      <c r="D47" s="44">
        <v>8497</v>
      </c>
      <c r="E47" s="45">
        <v>81</v>
      </c>
      <c r="F47" s="40"/>
      <c r="G47" s="41"/>
      <c r="H47" s="42"/>
      <c r="I47" s="43"/>
      <c r="K47" s="17"/>
    </row>
    <row r="48" spans="1:11" x14ac:dyDescent="0.2">
      <c r="A48" s="692">
        <v>41</v>
      </c>
      <c r="B48" s="37" t="s">
        <v>78</v>
      </c>
      <c r="C48" s="111" t="s">
        <v>79</v>
      </c>
      <c r="D48" s="44">
        <v>2701</v>
      </c>
      <c r="E48" s="45"/>
      <c r="F48" s="40"/>
      <c r="G48" s="41"/>
      <c r="H48" s="42"/>
      <c r="I48" s="43"/>
      <c r="K48" s="17"/>
    </row>
    <row r="49" spans="1:11" x14ac:dyDescent="0.2">
      <c r="A49" s="692">
        <v>42</v>
      </c>
      <c r="B49" s="46" t="s">
        <v>173</v>
      </c>
      <c r="C49" s="111" t="s">
        <v>174</v>
      </c>
      <c r="D49" s="44">
        <v>7435</v>
      </c>
      <c r="E49" s="45"/>
      <c r="F49" s="40"/>
      <c r="G49" s="41"/>
      <c r="H49" s="47">
        <v>56</v>
      </c>
      <c r="I49" s="43">
        <v>620</v>
      </c>
      <c r="K49" s="17"/>
    </row>
    <row r="50" spans="1:11" x14ac:dyDescent="0.2">
      <c r="A50" s="692">
        <v>43</v>
      </c>
      <c r="B50" s="37" t="s">
        <v>175</v>
      </c>
      <c r="C50" s="111" t="s">
        <v>176</v>
      </c>
      <c r="D50" s="44">
        <v>2316</v>
      </c>
      <c r="E50" s="45"/>
      <c r="F50" s="40"/>
      <c r="G50" s="41"/>
      <c r="H50" s="42"/>
      <c r="I50" s="43"/>
      <c r="K50" s="17"/>
    </row>
    <row r="51" spans="1:11" x14ac:dyDescent="0.2">
      <c r="A51" s="692">
        <v>44</v>
      </c>
      <c r="B51" s="37" t="s">
        <v>42</v>
      </c>
      <c r="C51" s="111" t="s">
        <v>43</v>
      </c>
      <c r="D51" s="44">
        <v>2536</v>
      </c>
      <c r="E51" s="45"/>
      <c r="F51" s="40"/>
      <c r="G51" s="41"/>
      <c r="H51" s="42"/>
      <c r="I51" s="43"/>
      <c r="K51" s="17"/>
    </row>
    <row r="52" spans="1:11" x14ac:dyDescent="0.2">
      <c r="A52" s="692">
        <v>45</v>
      </c>
      <c r="B52" s="46" t="s">
        <v>177</v>
      </c>
      <c r="C52" s="111" t="s">
        <v>178</v>
      </c>
      <c r="D52" s="44">
        <v>2282</v>
      </c>
      <c r="E52" s="45"/>
      <c r="F52" s="40"/>
      <c r="G52" s="41"/>
      <c r="H52" s="42"/>
      <c r="I52" s="43"/>
      <c r="K52" s="17"/>
    </row>
    <row r="53" spans="1:11" x14ac:dyDescent="0.2">
      <c r="A53" s="692">
        <v>46</v>
      </c>
      <c r="B53" s="46" t="s">
        <v>179</v>
      </c>
      <c r="C53" s="111" t="s">
        <v>180</v>
      </c>
      <c r="D53" s="44">
        <v>1260</v>
      </c>
      <c r="E53" s="45"/>
      <c r="F53" s="40"/>
      <c r="G53" s="41"/>
      <c r="H53" s="42"/>
      <c r="I53" s="43"/>
      <c r="K53" s="17"/>
    </row>
    <row r="54" spans="1:11" x14ac:dyDescent="0.2">
      <c r="A54" s="692">
        <v>47</v>
      </c>
      <c r="B54" s="37" t="s">
        <v>181</v>
      </c>
      <c r="C54" s="111" t="s">
        <v>182</v>
      </c>
      <c r="D54" s="44">
        <v>2544</v>
      </c>
      <c r="E54" s="45"/>
      <c r="F54" s="40"/>
      <c r="G54" s="41"/>
      <c r="H54" s="42"/>
      <c r="I54" s="43"/>
      <c r="K54" s="17"/>
    </row>
    <row r="55" spans="1:11" x14ac:dyDescent="0.2">
      <c r="A55" s="692">
        <v>48</v>
      </c>
      <c r="B55" s="46" t="s">
        <v>183</v>
      </c>
      <c r="C55" s="111" t="s">
        <v>184</v>
      </c>
      <c r="D55" s="44">
        <v>2799</v>
      </c>
      <c r="E55" s="45"/>
      <c r="F55" s="40"/>
      <c r="G55" s="41"/>
      <c r="H55" s="42"/>
      <c r="I55" s="43"/>
      <c r="K55" s="17"/>
    </row>
    <row r="56" spans="1:11" x14ac:dyDescent="0.2">
      <c r="A56" s="692">
        <v>49</v>
      </c>
      <c r="B56" s="37" t="s">
        <v>185</v>
      </c>
      <c r="C56" s="111" t="s">
        <v>186</v>
      </c>
      <c r="D56" s="44">
        <v>10783</v>
      </c>
      <c r="E56" s="45"/>
      <c r="F56" s="40"/>
      <c r="G56" s="41"/>
      <c r="H56" s="42"/>
      <c r="I56" s="43"/>
      <c r="K56" s="17"/>
    </row>
    <row r="57" spans="1:11" x14ac:dyDescent="0.2">
      <c r="A57" s="692">
        <v>50</v>
      </c>
      <c r="B57" s="46" t="s">
        <v>187</v>
      </c>
      <c r="C57" s="111" t="s">
        <v>188</v>
      </c>
      <c r="D57" s="44">
        <v>2097</v>
      </c>
      <c r="E57" s="45"/>
      <c r="F57" s="40"/>
      <c r="G57" s="41"/>
      <c r="H57" s="42"/>
      <c r="I57" s="43"/>
      <c r="K57" s="17"/>
    </row>
    <row r="58" spans="1:11" x14ac:dyDescent="0.2">
      <c r="A58" s="692">
        <v>51</v>
      </c>
      <c r="B58" s="46" t="s">
        <v>189</v>
      </c>
      <c r="C58" s="111" t="s">
        <v>190</v>
      </c>
      <c r="D58" s="44"/>
      <c r="E58" s="45"/>
      <c r="F58" s="40"/>
      <c r="G58" s="41"/>
      <c r="H58" s="42"/>
      <c r="I58" s="43"/>
      <c r="K58" s="17"/>
    </row>
    <row r="59" spans="1:11" ht="17.25" customHeight="1" x14ac:dyDescent="0.2">
      <c r="A59" s="692">
        <v>52</v>
      </c>
      <c r="B59" s="691" t="s">
        <v>191</v>
      </c>
      <c r="C59" s="112" t="s">
        <v>192</v>
      </c>
      <c r="D59" s="44"/>
      <c r="E59" s="45"/>
      <c r="F59" s="40"/>
      <c r="G59" s="41"/>
      <c r="H59" s="42"/>
      <c r="I59" s="43"/>
      <c r="K59" s="17"/>
    </row>
    <row r="60" spans="1:11" ht="17.25" customHeight="1" x14ac:dyDescent="0.2">
      <c r="A60" s="692">
        <v>53</v>
      </c>
      <c r="B60" s="46" t="s">
        <v>22</v>
      </c>
      <c r="C60" s="111" t="s">
        <v>23</v>
      </c>
      <c r="D60" s="44"/>
      <c r="E60" s="45"/>
      <c r="F60" s="40"/>
      <c r="G60" s="41"/>
      <c r="H60" s="42"/>
      <c r="I60" s="43"/>
      <c r="K60" s="17"/>
    </row>
    <row r="61" spans="1:11" ht="17.25" customHeight="1" x14ac:dyDescent="0.2">
      <c r="A61" s="692">
        <v>54</v>
      </c>
      <c r="B61" s="46" t="s">
        <v>24</v>
      </c>
      <c r="C61" s="111" t="s">
        <v>25</v>
      </c>
      <c r="D61" s="44"/>
      <c r="E61" s="45"/>
      <c r="F61" s="40"/>
      <c r="G61" s="41"/>
      <c r="H61" s="42"/>
      <c r="I61" s="43"/>
      <c r="K61" s="17"/>
    </row>
    <row r="62" spans="1:11" ht="17.25" customHeight="1" x14ac:dyDescent="0.2">
      <c r="A62" s="692">
        <v>55</v>
      </c>
      <c r="B62" s="46" t="s">
        <v>193</v>
      </c>
      <c r="C62" s="111" t="s">
        <v>194</v>
      </c>
      <c r="D62" s="44"/>
      <c r="E62" s="45"/>
      <c r="F62" s="40"/>
      <c r="G62" s="41"/>
      <c r="H62" s="42"/>
      <c r="I62" s="43"/>
      <c r="K62" s="17"/>
    </row>
    <row r="63" spans="1:11" ht="17.25" customHeight="1" x14ac:dyDescent="0.2">
      <c r="A63" s="692">
        <v>56</v>
      </c>
      <c r="B63" s="37" t="s">
        <v>26</v>
      </c>
      <c r="C63" s="111" t="s">
        <v>27</v>
      </c>
      <c r="D63" s="44"/>
      <c r="E63" s="45"/>
      <c r="F63" s="40"/>
      <c r="G63" s="41"/>
      <c r="H63" s="42"/>
      <c r="I63" s="43"/>
      <c r="K63" s="17"/>
    </row>
    <row r="64" spans="1:11" ht="17.25" customHeight="1" x14ac:dyDescent="0.2">
      <c r="A64" s="692">
        <v>57</v>
      </c>
      <c r="B64" s="48" t="s">
        <v>28</v>
      </c>
      <c r="C64" s="111" t="s">
        <v>29</v>
      </c>
      <c r="D64" s="44"/>
      <c r="E64" s="45"/>
      <c r="F64" s="40"/>
      <c r="G64" s="41"/>
      <c r="H64" s="42"/>
      <c r="I64" s="43"/>
      <c r="K64" s="17"/>
    </row>
    <row r="65" spans="1:11" ht="27.75" customHeight="1" x14ac:dyDescent="0.2">
      <c r="A65" s="692">
        <v>58</v>
      </c>
      <c r="B65" s="37" t="s">
        <v>196</v>
      </c>
      <c r="C65" s="111" t="s">
        <v>197</v>
      </c>
      <c r="D65" s="44"/>
      <c r="E65" s="45"/>
      <c r="F65" s="40"/>
      <c r="G65" s="41"/>
      <c r="H65" s="42"/>
      <c r="I65" s="43"/>
      <c r="K65" s="17"/>
    </row>
    <row r="66" spans="1:11" ht="27.75" customHeight="1" x14ac:dyDescent="0.2">
      <c r="A66" s="692">
        <v>59</v>
      </c>
      <c r="B66" s="46" t="s">
        <v>198</v>
      </c>
      <c r="C66" s="111" t="s">
        <v>199</v>
      </c>
      <c r="D66" s="44"/>
      <c r="E66" s="45"/>
      <c r="F66" s="40"/>
      <c r="G66" s="41"/>
      <c r="H66" s="42"/>
      <c r="I66" s="43"/>
      <c r="K66" s="17"/>
    </row>
    <row r="67" spans="1:11" x14ac:dyDescent="0.2">
      <c r="A67" s="692">
        <v>60</v>
      </c>
      <c r="B67" s="37" t="s">
        <v>62</v>
      </c>
      <c r="C67" s="111" t="s">
        <v>200</v>
      </c>
      <c r="D67" s="44"/>
      <c r="E67" s="45"/>
      <c r="F67" s="40"/>
      <c r="G67" s="41"/>
      <c r="H67" s="42"/>
      <c r="I67" s="43"/>
      <c r="K67" s="17"/>
    </row>
    <row r="68" spans="1:11" x14ac:dyDescent="0.2">
      <c r="A68" s="692">
        <v>61</v>
      </c>
      <c r="B68" s="37" t="s">
        <v>64</v>
      </c>
      <c r="C68" s="111" t="s">
        <v>201</v>
      </c>
      <c r="D68" s="44"/>
      <c r="E68" s="45"/>
      <c r="F68" s="40"/>
      <c r="G68" s="41"/>
      <c r="H68" s="42"/>
      <c r="I68" s="43"/>
      <c r="K68" s="17"/>
    </row>
    <row r="69" spans="1:11" x14ac:dyDescent="0.2">
      <c r="A69" s="692">
        <v>62</v>
      </c>
      <c r="B69" s="37" t="s">
        <v>66</v>
      </c>
      <c r="C69" s="111" t="s">
        <v>202</v>
      </c>
      <c r="D69" s="44"/>
      <c r="E69" s="45"/>
      <c r="F69" s="40"/>
      <c r="G69" s="41"/>
      <c r="H69" s="42"/>
      <c r="I69" s="43"/>
      <c r="K69" s="17"/>
    </row>
    <row r="70" spans="1:11" ht="16.5" customHeight="1" x14ac:dyDescent="0.2">
      <c r="A70" s="692">
        <v>63</v>
      </c>
      <c r="B70" s="37" t="s">
        <v>203</v>
      </c>
      <c r="C70" s="111" t="s">
        <v>204</v>
      </c>
      <c r="D70" s="44"/>
      <c r="E70" s="45"/>
      <c r="F70" s="40"/>
      <c r="G70" s="41"/>
      <c r="H70" s="42"/>
      <c r="I70" s="43"/>
      <c r="K70" s="17"/>
    </row>
    <row r="71" spans="1:11" ht="16.5" customHeight="1" x14ac:dyDescent="0.2">
      <c r="A71" s="692">
        <v>64</v>
      </c>
      <c r="B71" s="37" t="s">
        <v>205</v>
      </c>
      <c r="C71" s="111" t="s">
        <v>206</v>
      </c>
      <c r="D71" s="44"/>
      <c r="E71" s="45"/>
      <c r="F71" s="40"/>
      <c r="G71" s="41"/>
      <c r="H71" s="42"/>
      <c r="I71" s="43"/>
      <c r="K71" s="17"/>
    </row>
    <row r="72" spans="1:11" ht="16.5" customHeight="1" x14ac:dyDescent="0.2">
      <c r="A72" s="692">
        <v>65</v>
      </c>
      <c r="B72" s="37" t="s">
        <v>207</v>
      </c>
      <c r="C72" s="111" t="s">
        <v>208</v>
      </c>
      <c r="D72" s="44"/>
      <c r="E72" s="45"/>
      <c r="F72" s="40"/>
      <c r="G72" s="41"/>
      <c r="H72" s="42"/>
      <c r="I72" s="43"/>
      <c r="K72" s="17"/>
    </row>
    <row r="73" spans="1:11" ht="16.5" customHeight="1" x14ac:dyDescent="0.2">
      <c r="A73" s="692">
        <v>66</v>
      </c>
      <c r="B73" s="37" t="s">
        <v>209</v>
      </c>
      <c r="C73" s="111" t="s">
        <v>210</v>
      </c>
      <c r="D73" s="44"/>
      <c r="E73" s="45"/>
      <c r="F73" s="40"/>
      <c r="G73" s="41"/>
      <c r="H73" s="42"/>
      <c r="I73" s="43"/>
      <c r="K73" s="17"/>
    </row>
    <row r="74" spans="1:11" ht="16.5" customHeight="1" x14ac:dyDescent="0.2">
      <c r="A74" s="692">
        <v>67</v>
      </c>
      <c r="B74" s="46" t="s">
        <v>211</v>
      </c>
      <c r="C74" s="111" t="s">
        <v>212</v>
      </c>
      <c r="D74" s="44"/>
      <c r="E74" s="45"/>
      <c r="F74" s="40"/>
      <c r="G74" s="41"/>
      <c r="H74" s="42"/>
      <c r="I74" s="43"/>
      <c r="K74" s="17"/>
    </row>
    <row r="75" spans="1:11" ht="16.5" customHeight="1" x14ac:dyDescent="0.2">
      <c r="A75" s="692">
        <v>68</v>
      </c>
      <c r="B75" s="37" t="s">
        <v>213</v>
      </c>
      <c r="C75" s="111" t="s">
        <v>214</v>
      </c>
      <c r="D75" s="44"/>
      <c r="E75" s="45"/>
      <c r="F75" s="40"/>
      <c r="G75" s="41"/>
      <c r="H75" s="42"/>
      <c r="I75" s="43"/>
      <c r="K75" s="17"/>
    </row>
    <row r="76" spans="1:11" ht="16.5" customHeight="1" x14ac:dyDescent="0.2">
      <c r="A76" s="692">
        <v>69</v>
      </c>
      <c r="B76" s="46" t="s">
        <v>215</v>
      </c>
      <c r="C76" s="111" t="s">
        <v>216</v>
      </c>
      <c r="D76" s="44"/>
      <c r="E76" s="45"/>
      <c r="F76" s="40"/>
      <c r="G76" s="41"/>
      <c r="H76" s="42"/>
      <c r="I76" s="43"/>
      <c r="K76" s="17"/>
    </row>
    <row r="77" spans="1:11" ht="17.25" customHeight="1" x14ac:dyDescent="0.2">
      <c r="A77" s="692">
        <v>70</v>
      </c>
      <c r="B77" s="37" t="s">
        <v>217</v>
      </c>
      <c r="C77" s="111" t="s">
        <v>218</v>
      </c>
      <c r="D77" s="44"/>
      <c r="E77" s="45"/>
      <c r="F77" s="40"/>
      <c r="G77" s="41"/>
      <c r="H77" s="42"/>
      <c r="I77" s="43"/>
      <c r="K77" s="17"/>
    </row>
    <row r="78" spans="1:11" x14ac:dyDescent="0.2">
      <c r="A78" s="692">
        <v>71</v>
      </c>
      <c r="B78" s="46" t="s">
        <v>50</v>
      </c>
      <c r="C78" s="111" t="s">
        <v>219</v>
      </c>
      <c r="D78" s="44"/>
      <c r="E78" s="45"/>
      <c r="F78" s="40"/>
      <c r="G78" s="41"/>
      <c r="H78" s="42"/>
      <c r="I78" s="43"/>
      <c r="K78" s="17"/>
    </row>
    <row r="79" spans="1:11" x14ac:dyDescent="0.2">
      <c r="A79" s="692">
        <v>72</v>
      </c>
      <c r="B79" s="46" t="s">
        <v>52</v>
      </c>
      <c r="C79" s="111" t="s">
        <v>220</v>
      </c>
      <c r="D79" s="44"/>
      <c r="E79" s="45"/>
      <c r="F79" s="40"/>
      <c r="G79" s="41"/>
      <c r="H79" s="42"/>
      <c r="I79" s="43"/>
      <c r="K79" s="17"/>
    </row>
    <row r="80" spans="1:11" x14ac:dyDescent="0.2">
      <c r="A80" s="692">
        <v>73</v>
      </c>
      <c r="B80" s="37" t="s">
        <v>44</v>
      </c>
      <c r="C80" s="111" t="s">
        <v>221</v>
      </c>
      <c r="D80" s="44"/>
      <c r="E80" s="45"/>
      <c r="F80" s="40"/>
      <c r="G80" s="41"/>
      <c r="H80" s="42"/>
      <c r="I80" s="43"/>
      <c r="K80" s="17"/>
    </row>
    <row r="81" spans="1:11" x14ac:dyDescent="0.2">
      <c r="A81" s="692">
        <v>74</v>
      </c>
      <c r="B81" s="37" t="s">
        <v>54</v>
      </c>
      <c r="C81" s="111" t="s">
        <v>222</v>
      </c>
      <c r="D81" s="44"/>
      <c r="E81" s="45"/>
      <c r="F81" s="40"/>
      <c r="G81" s="41"/>
      <c r="H81" s="42"/>
      <c r="I81" s="43"/>
      <c r="K81" s="17"/>
    </row>
    <row r="82" spans="1:11" x14ac:dyDescent="0.2">
      <c r="A82" s="692">
        <v>75</v>
      </c>
      <c r="B82" s="37" t="s">
        <v>36</v>
      </c>
      <c r="C82" s="111" t="s">
        <v>37</v>
      </c>
      <c r="D82" s="44"/>
      <c r="E82" s="45"/>
      <c r="F82" s="40"/>
      <c r="G82" s="41"/>
      <c r="H82" s="42"/>
      <c r="I82" s="43"/>
      <c r="K82" s="17"/>
    </row>
    <row r="83" spans="1:11" x14ac:dyDescent="0.2">
      <c r="A83" s="692">
        <v>76</v>
      </c>
      <c r="B83" s="37" t="s">
        <v>48</v>
      </c>
      <c r="C83" s="111" t="s">
        <v>223</v>
      </c>
      <c r="D83" s="44"/>
      <c r="E83" s="45"/>
      <c r="F83" s="40"/>
      <c r="G83" s="41"/>
      <c r="H83" s="42"/>
      <c r="I83" s="43"/>
      <c r="K83" s="17"/>
    </row>
    <row r="84" spans="1:11" x14ac:dyDescent="0.2">
      <c r="A84" s="692">
        <v>77</v>
      </c>
      <c r="B84" s="37" t="s">
        <v>224</v>
      </c>
      <c r="C84" s="167" t="s">
        <v>225</v>
      </c>
      <c r="D84" s="44"/>
      <c r="E84" s="45"/>
      <c r="F84" s="40"/>
      <c r="G84" s="41"/>
      <c r="H84" s="42"/>
      <c r="I84" s="43"/>
      <c r="K84" s="17"/>
    </row>
    <row r="85" spans="1:11" x14ac:dyDescent="0.2">
      <c r="A85" s="692">
        <v>78</v>
      </c>
      <c r="B85" s="52" t="s">
        <v>226</v>
      </c>
      <c r="C85" s="167" t="s">
        <v>227</v>
      </c>
      <c r="D85" s="44"/>
      <c r="E85" s="45"/>
      <c r="F85" s="40"/>
      <c r="G85" s="41"/>
      <c r="H85" s="42"/>
      <c r="I85" s="43"/>
      <c r="K85" s="17"/>
    </row>
    <row r="86" spans="1:11" ht="25.5" x14ac:dyDescent="0.2">
      <c r="A86" s="1215">
        <v>79</v>
      </c>
      <c r="B86" s="1216" t="s">
        <v>228</v>
      </c>
      <c r="C86" s="168" t="s">
        <v>229</v>
      </c>
      <c r="D86" s="44"/>
      <c r="E86" s="45"/>
      <c r="F86" s="40"/>
      <c r="G86" s="41"/>
      <c r="H86" s="42"/>
      <c r="I86" s="43"/>
      <c r="K86" s="17"/>
    </row>
    <row r="87" spans="1:11" ht="37.5" customHeight="1" x14ac:dyDescent="0.2">
      <c r="A87" s="1215"/>
      <c r="B87" s="1217"/>
      <c r="C87" s="167" t="s">
        <v>230</v>
      </c>
      <c r="D87" s="44"/>
      <c r="E87" s="45"/>
      <c r="F87" s="40"/>
      <c r="G87" s="41"/>
      <c r="H87" s="42"/>
      <c r="I87" s="43"/>
      <c r="K87" s="17"/>
    </row>
    <row r="88" spans="1:11" ht="24" customHeight="1" x14ac:dyDescent="0.2">
      <c r="A88" s="1215"/>
      <c r="B88" s="1217"/>
      <c r="C88" s="167" t="s">
        <v>231</v>
      </c>
      <c r="D88" s="44"/>
      <c r="E88" s="45"/>
      <c r="F88" s="40"/>
      <c r="G88" s="41"/>
      <c r="H88" s="42"/>
      <c r="I88" s="43"/>
      <c r="K88" s="17"/>
    </row>
    <row r="89" spans="1:11" ht="24" customHeight="1" x14ac:dyDescent="0.2">
      <c r="A89" s="1215"/>
      <c r="B89" s="1218"/>
      <c r="C89" s="173" t="s">
        <v>232</v>
      </c>
      <c r="D89" s="44"/>
      <c r="E89" s="45"/>
      <c r="F89" s="40"/>
      <c r="G89" s="41"/>
      <c r="H89" s="42"/>
      <c r="I89" s="43"/>
      <c r="K89" s="17"/>
    </row>
    <row r="90" spans="1:11" ht="24" customHeight="1" x14ac:dyDescent="0.2">
      <c r="A90" s="692">
        <v>80</v>
      </c>
      <c r="B90" s="46" t="s">
        <v>233</v>
      </c>
      <c r="C90" s="111" t="s">
        <v>234</v>
      </c>
      <c r="D90" s="44"/>
      <c r="E90" s="45"/>
      <c r="F90" s="40"/>
      <c r="G90" s="41"/>
      <c r="H90" s="42"/>
      <c r="I90" s="43"/>
      <c r="K90" s="17"/>
    </row>
    <row r="91" spans="1:11" x14ac:dyDescent="0.2">
      <c r="A91" s="692">
        <v>81</v>
      </c>
      <c r="B91" s="37" t="s">
        <v>235</v>
      </c>
      <c r="C91" s="111" t="s">
        <v>236</v>
      </c>
      <c r="D91" s="44"/>
      <c r="E91" s="45"/>
      <c r="F91" s="40"/>
      <c r="G91" s="41"/>
      <c r="H91" s="42"/>
      <c r="I91" s="43"/>
      <c r="K91" s="17"/>
    </row>
    <row r="92" spans="1:11" x14ac:dyDescent="0.2">
      <c r="A92" s="692">
        <v>82</v>
      </c>
      <c r="B92" s="46" t="s">
        <v>74</v>
      </c>
      <c r="C92" s="111" t="s">
        <v>237</v>
      </c>
      <c r="D92" s="44"/>
      <c r="E92" s="45"/>
      <c r="F92" s="40"/>
      <c r="G92" s="41"/>
      <c r="H92" s="42"/>
      <c r="I92" s="43"/>
      <c r="K92" s="17"/>
    </row>
    <row r="93" spans="1:11" x14ac:dyDescent="0.2">
      <c r="A93" s="692">
        <v>83</v>
      </c>
      <c r="B93" s="48" t="s">
        <v>38</v>
      </c>
      <c r="C93" s="111" t="s">
        <v>39</v>
      </c>
      <c r="D93" s="44">
        <v>1653</v>
      </c>
      <c r="E93" s="45"/>
      <c r="F93" s="40"/>
      <c r="G93" s="41"/>
      <c r="H93" s="42"/>
      <c r="I93" s="43"/>
      <c r="K93" s="17"/>
    </row>
    <row r="94" spans="1:11" x14ac:dyDescent="0.2">
      <c r="A94" s="692">
        <v>84</v>
      </c>
      <c r="B94" s="37" t="s">
        <v>40</v>
      </c>
      <c r="C94" s="111" t="s">
        <v>41</v>
      </c>
      <c r="D94" s="44">
        <v>2130</v>
      </c>
      <c r="E94" s="45"/>
      <c r="F94" s="40"/>
      <c r="G94" s="41"/>
      <c r="H94" s="42"/>
      <c r="I94" s="43"/>
      <c r="K94" s="17"/>
    </row>
    <row r="95" spans="1:11" x14ac:dyDescent="0.2">
      <c r="A95" s="692">
        <v>85</v>
      </c>
      <c r="B95" s="37" t="s">
        <v>238</v>
      </c>
      <c r="C95" s="111" t="s">
        <v>239</v>
      </c>
      <c r="D95" s="44">
        <v>3711</v>
      </c>
      <c r="E95" s="45"/>
      <c r="F95" s="40"/>
      <c r="G95" s="41"/>
      <c r="H95" s="42"/>
      <c r="I95" s="43"/>
      <c r="K95" s="17"/>
    </row>
    <row r="96" spans="1:11" x14ac:dyDescent="0.2">
      <c r="A96" s="692">
        <v>86</v>
      </c>
      <c r="B96" s="48" t="s">
        <v>240</v>
      </c>
      <c r="C96" s="111" t="s">
        <v>241</v>
      </c>
      <c r="D96" s="44">
        <v>1644</v>
      </c>
      <c r="E96" s="45"/>
      <c r="F96" s="40"/>
      <c r="G96" s="41"/>
      <c r="H96" s="42"/>
      <c r="I96" s="43"/>
      <c r="K96" s="17"/>
    </row>
    <row r="97" spans="1:11" x14ac:dyDescent="0.2">
      <c r="A97" s="692">
        <v>87</v>
      </c>
      <c r="B97" s="37" t="s">
        <v>88</v>
      </c>
      <c r="C97" s="111" t="s">
        <v>89</v>
      </c>
      <c r="D97" s="44">
        <v>2440</v>
      </c>
      <c r="E97" s="45"/>
      <c r="F97" s="40"/>
      <c r="G97" s="41"/>
      <c r="H97" s="42"/>
      <c r="I97" s="43"/>
      <c r="K97" s="17"/>
    </row>
    <row r="98" spans="1:11" x14ac:dyDescent="0.2">
      <c r="A98" s="692">
        <v>88</v>
      </c>
      <c r="B98" s="48" t="s">
        <v>242</v>
      </c>
      <c r="C98" s="111" t="s">
        <v>243</v>
      </c>
      <c r="D98" s="44">
        <v>5035</v>
      </c>
      <c r="E98" s="45"/>
      <c r="F98" s="40"/>
      <c r="G98" s="41"/>
      <c r="H98" s="42"/>
      <c r="I98" s="43"/>
      <c r="K98" s="17"/>
    </row>
    <row r="99" spans="1:11" x14ac:dyDescent="0.2">
      <c r="A99" s="692">
        <v>89</v>
      </c>
      <c r="B99" s="37" t="s">
        <v>244</v>
      </c>
      <c r="C99" s="111" t="s">
        <v>245</v>
      </c>
      <c r="D99" s="44">
        <v>3611</v>
      </c>
      <c r="E99" s="45"/>
      <c r="F99" s="40"/>
      <c r="G99" s="41"/>
      <c r="H99" s="42"/>
      <c r="I99" s="43"/>
      <c r="K99" s="17"/>
    </row>
    <row r="100" spans="1:11" x14ac:dyDescent="0.2">
      <c r="A100" s="692">
        <v>90</v>
      </c>
      <c r="B100" s="46" t="s">
        <v>246</v>
      </c>
      <c r="C100" s="111" t="s">
        <v>247</v>
      </c>
      <c r="D100" s="44">
        <v>1651</v>
      </c>
      <c r="E100" s="45"/>
      <c r="F100" s="40"/>
      <c r="G100" s="41"/>
      <c r="H100" s="42"/>
      <c r="I100" s="43"/>
      <c r="K100" s="17"/>
    </row>
    <row r="101" spans="1:11" x14ac:dyDescent="0.2">
      <c r="A101" s="692">
        <v>91</v>
      </c>
      <c r="B101" s="37" t="s">
        <v>248</v>
      </c>
      <c r="C101" s="111" t="s">
        <v>249</v>
      </c>
      <c r="D101" s="44">
        <v>2232</v>
      </c>
      <c r="E101" s="45"/>
      <c r="F101" s="40"/>
      <c r="G101" s="41"/>
      <c r="H101" s="42"/>
      <c r="I101" s="43"/>
      <c r="K101" s="17"/>
    </row>
    <row r="102" spans="1:11" x14ac:dyDescent="0.2">
      <c r="A102" s="692">
        <v>92</v>
      </c>
      <c r="B102" s="37" t="s">
        <v>250</v>
      </c>
      <c r="C102" s="111" t="s">
        <v>251</v>
      </c>
      <c r="D102" s="44">
        <v>1702</v>
      </c>
      <c r="E102" s="45"/>
      <c r="F102" s="40"/>
      <c r="G102" s="41"/>
      <c r="H102" s="42"/>
      <c r="I102" s="43"/>
      <c r="K102" s="17"/>
    </row>
    <row r="103" spans="1:11" x14ac:dyDescent="0.2">
      <c r="A103" s="692">
        <v>93</v>
      </c>
      <c r="B103" s="46" t="s">
        <v>32</v>
      </c>
      <c r="C103" s="111" t="s">
        <v>33</v>
      </c>
      <c r="D103" s="44">
        <v>2656</v>
      </c>
      <c r="E103" s="45">
        <v>81</v>
      </c>
      <c r="F103" s="40"/>
      <c r="G103" s="41"/>
      <c r="H103" s="42"/>
      <c r="I103" s="43"/>
      <c r="K103" s="17"/>
    </row>
    <row r="104" spans="1:11" x14ac:dyDescent="0.2">
      <c r="A104" s="692">
        <v>94</v>
      </c>
      <c r="B104" s="37" t="s">
        <v>252</v>
      </c>
      <c r="C104" s="111" t="s">
        <v>253</v>
      </c>
      <c r="D104" s="44">
        <v>4619</v>
      </c>
      <c r="E104" s="45"/>
      <c r="F104" s="40"/>
      <c r="G104" s="41"/>
      <c r="H104" s="42"/>
      <c r="I104" s="43"/>
      <c r="K104" s="17"/>
    </row>
    <row r="105" spans="1:11" x14ac:dyDescent="0.2">
      <c r="A105" s="692">
        <v>95</v>
      </c>
      <c r="B105" s="46" t="s">
        <v>254</v>
      </c>
      <c r="C105" s="111" t="s">
        <v>255</v>
      </c>
      <c r="D105" s="44">
        <v>2076</v>
      </c>
      <c r="E105" s="45"/>
      <c r="F105" s="40"/>
      <c r="G105" s="41"/>
      <c r="H105" s="42"/>
      <c r="I105" s="43"/>
      <c r="K105" s="17"/>
    </row>
    <row r="106" spans="1:11" x14ac:dyDescent="0.2">
      <c r="A106" s="692">
        <v>96</v>
      </c>
      <c r="B106" s="46" t="s">
        <v>256</v>
      </c>
      <c r="C106" s="111" t="s">
        <v>257</v>
      </c>
      <c r="D106" s="44">
        <v>4678</v>
      </c>
      <c r="E106" s="45"/>
      <c r="F106" s="40"/>
      <c r="G106" s="41"/>
      <c r="H106" s="42"/>
      <c r="I106" s="43"/>
      <c r="K106" s="17"/>
    </row>
    <row r="107" spans="1:11" x14ac:dyDescent="0.2">
      <c r="A107" s="692">
        <v>97</v>
      </c>
      <c r="B107" s="37" t="s">
        <v>76</v>
      </c>
      <c r="C107" s="111" t="s">
        <v>77</v>
      </c>
      <c r="D107" s="44">
        <v>1853</v>
      </c>
      <c r="E107" s="45"/>
      <c r="F107" s="40"/>
      <c r="G107" s="41"/>
      <c r="H107" s="42"/>
      <c r="I107" s="43"/>
      <c r="K107" s="17"/>
    </row>
    <row r="108" spans="1:11" x14ac:dyDescent="0.2">
      <c r="A108" s="692">
        <v>98</v>
      </c>
      <c r="B108" s="37" t="s">
        <v>258</v>
      </c>
      <c r="C108" s="111" t="s">
        <v>259</v>
      </c>
      <c r="D108" s="44"/>
      <c r="E108" s="45"/>
      <c r="F108" s="40"/>
      <c r="G108" s="41"/>
      <c r="H108" s="42"/>
      <c r="I108" s="43"/>
      <c r="K108" s="17"/>
    </row>
    <row r="109" spans="1:11" x14ac:dyDescent="0.2">
      <c r="A109" s="692">
        <v>99</v>
      </c>
      <c r="B109" s="37" t="s">
        <v>260</v>
      </c>
      <c r="C109" s="111" t="s">
        <v>261</v>
      </c>
      <c r="D109" s="44"/>
      <c r="E109" s="45"/>
      <c r="F109" s="40"/>
      <c r="G109" s="41"/>
      <c r="H109" s="42"/>
      <c r="I109" s="43"/>
      <c r="K109" s="17"/>
    </row>
    <row r="110" spans="1:11" x14ac:dyDescent="0.2">
      <c r="A110" s="692">
        <v>100</v>
      </c>
      <c r="B110" s="46" t="s">
        <v>264</v>
      </c>
      <c r="C110" s="111" t="s">
        <v>265</v>
      </c>
      <c r="D110" s="44"/>
      <c r="E110" s="45"/>
      <c r="F110" s="40"/>
      <c r="G110" s="41"/>
      <c r="H110" s="42"/>
      <c r="I110" s="43"/>
      <c r="K110" s="17"/>
    </row>
    <row r="111" spans="1:11" x14ac:dyDescent="0.2">
      <c r="A111" s="692">
        <v>101</v>
      </c>
      <c r="B111" s="48" t="s">
        <v>266</v>
      </c>
      <c r="C111" s="111" t="s">
        <v>267</v>
      </c>
      <c r="D111" s="44"/>
      <c r="E111" s="45"/>
      <c r="F111" s="40"/>
      <c r="G111" s="41"/>
      <c r="H111" s="42"/>
      <c r="I111" s="43"/>
      <c r="K111" s="17"/>
    </row>
    <row r="112" spans="1:11" x14ac:dyDescent="0.2">
      <c r="A112" s="692">
        <v>102</v>
      </c>
      <c r="B112" s="37" t="s">
        <v>268</v>
      </c>
      <c r="C112" s="111" t="s">
        <v>269</v>
      </c>
      <c r="D112" s="44"/>
      <c r="E112" s="45"/>
      <c r="F112" s="40"/>
      <c r="G112" s="41"/>
      <c r="H112" s="42"/>
      <c r="I112" s="43"/>
      <c r="K112" s="17"/>
    </row>
    <row r="113" spans="1:11" x14ac:dyDescent="0.2">
      <c r="A113" s="692">
        <v>103</v>
      </c>
      <c r="B113" s="37" t="s">
        <v>270</v>
      </c>
      <c r="C113" s="111" t="s">
        <v>271</v>
      </c>
      <c r="D113" s="44"/>
      <c r="E113" s="45"/>
      <c r="F113" s="40"/>
      <c r="G113" s="41"/>
      <c r="H113" s="42"/>
      <c r="I113" s="43"/>
      <c r="K113" s="17"/>
    </row>
    <row r="114" spans="1:11" x14ac:dyDescent="0.2">
      <c r="A114" s="692">
        <v>104</v>
      </c>
      <c r="B114" s="46" t="s">
        <v>272</v>
      </c>
      <c r="C114" s="111" t="s">
        <v>273</v>
      </c>
      <c r="D114" s="44"/>
      <c r="E114" s="45"/>
      <c r="F114" s="40"/>
      <c r="G114" s="41"/>
      <c r="H114" s="42"/>
      <c r="I114" s="43"/>
      <c r="K114" s="17"/>
    </row>
    <row r="115" spans="1:11" ht="13.5" customHeight="1" x14ac:dyDescent="0.2">
      <c r="A115" s="692">
        <v>105</v>
      </c>
      <c r="B115" s="46" t="s">
        <v>274</v>
      </c>
      <c r="C115" s="111" t="s">
        <v>275</v>
      </c>
      <c r="D115" s="44"/>
      <c r="E115" s="45"/>
      <c r="F115" s="40"/>
      <c r="G115" s="41"/>
      <c r="H115" s="42"/>
      <c r="I115" s="43"/>
      <c r="K115" s="17"/>
    </row>
    <row r="116" spans="1:11" x14ac:dyDescent="0.2">
      <c r="A116" s="692">
        <v>106</v>
      </c>
      <c r="B116" s="37" t="s">
        <v>276</v>
      </c>
      <c r="C116" s="111" t="s">
        <v>277</v>
      </c>
      <c r="D116" s="44"/>
      <c r="E116" s="45"/>
      <c r="F116" s="40"/>
      <c r="G116" s="41"/>
      <c r="H116" s="42"/>
      <c r="I116" s="43"/>
      <c r="K116" s="17"/>
    </row>
    <row r="117" spans="1:11" x14ac:dyDescent="0.2">
      <c r="A117" s="692">
        <v>107</v>
      </c>
      <c r="B117" s="37" t="s">
        <v>278</v>
      </c>
      <c r="C117" s="111" t="s">
        <v>279</v>
      </c>
      <c r="D117" s="44"/>
      <c r="E117" s="45"/>
      <c r="F117" s="40"/>
      <c r="G117" s="41"/>
      <c r="H117" s="42"/>
      <c r="I117" s="43"/>
      <c r="K117" s="17"/>
    </row>
    <row r="118" spans="1:11" x14ac:dyDescent="0.2">
      <c r="A118" s="692">
        <v>108</v>
      </c>
      <c r="B118" s="37" t="s">
        <v>280</v>
      </c>
      <c r="C118" s="111" t="s">
        <v>281</v>
      </c>
      <c r="D118" s="44"/>
      <c r="E118" s="45"/>
      <c r="F118" s="40"/>
      <c r="G118" s="41"/>
      <c r="H118" s="42"/>
      <c r="I118" s="43"/>
      <c r="K118" s="17"/>
    </row>
    <row r="119" spans="1:11" x14ac:dyDescent="0.2">
      <c r="A119" s="692">
        <v>109</v>
      </c>
      <c r="B119" s="691" t="s">
        <v>282</v>
      </c>
      <c r="C119" s="167" t="s">
        <v>283</v>
      </c>
      <c r="D119" s="44"/>
      <c r="E119" s="45"/>
      <c r="F119" s="40"/>
      <c r="G119" s="41"/>
      <c r="H119" s="42"/>
      <c r="I119" s="43"/>
      <c r="K119" s="17"/>
    </row>
    <row r="120" spans="1:11" x14ac:dyDescent="0.2">
      <c r="A120" s="692">
        <v>110</v>
      </c>
      <c r="B120" s="46" t="s">
        <v>284</v>
      </c>
      <c r="C120" s="111" t="s">
        <v>285</v>
      </c>
      <c r="D120" s="44"/>
      <c r="E120" s="45"/>
      <c r="F120" s="40"/>
      <c r="G120" s="41"/>
      <c r="H120" s="42"/>
      <c r="I120" s="43"/>
      <c r="K120" s="17"/>
    </row>
    <row r="121" spans="1:11" x14ac:dyDescent="0.2">
      <c r="A121" s="692">
        <v>111</v>
      </c>
      <c r="B121" s="224" t="s">
        <v>780</v>
      </c>
      <c r="C121" s="220" t="s">
        <v>737</v>
      </c>
      <c r="D121" s="44"/>
      <c r="E121" s="45"/>
      <c r="F121" s="40"/>
      <c r="G121" s="41"/>
      <c r="H121" s="42"/>
      <c r="I121" s="43"/>
      <c r="K121" s="17"/>
    </row>
    <row r="122" spans="1:11" x14ac:dyDescent="0.2">
      <c r="A122" s="692">
        <v>112</v>
      </c>
      <c r="B122" s="46" t="s">
        <v>286</v>
      </c>
      <c r="C122" s="111" t="s">
        <v>287</v>
      </c>
      <c r="D122" s="44"/>
      <c r="E122" s="45"/>
      <c r="F122" s="40"/>
      <c r="G122" s="41"/>
      <c r="H122" s="42"/>
      <c r="I122" s="43"/>
      <c r="K122" s="17"/>
    </row>
    <row r="123" spans="1:11" x14ac:dyDescent="0.2">
      <c r="A123" s="692">
        <v>113</v>
      </c>
      <c r="B123" s="53" t="s">
        <v>288</v>
      </c>
      <c r="C123" s="113" t="s">
        <v>289</v>
      </c>
      <c r="D123" s="44"/>
      <c r="E123" s="45"/>
      <c r="F123" s="40"/>
      <c r="G123" s="41"/>
      <c r="H123" s="42"/>
      <c r="I123" s="43"/>
      <c r="K123" s="17"/>
    </row>
    <row r="124" spans="1:11" x14ac:dyDescent="0.2">
      <c r="A124" s="692">
        <v>114</v>
      </c>
      <c r="B124" s="37" t="s">
        <v>290</v>
      </c>
      <c r="C124" s="111" t="s">
        <v>291</v>
      </c>
      <c r="D124" s="44"/>
      <c r="E124" s="45"/>
      <c r="F124" s="40"/>
      <c r="G124" s="41"/>
      <c r="H124" s="42"/>
      <c r="I124" s="43"/>
      <c r="K124" s="17"/>
    </row>
    <row r="125" spans="1:11" ht="12.75" customHeight="1" x14ac:dyDescent="0.2">
      <c r="A125" s="692">
        <v>115</v>
      </c>
      <c r="B125" s="46" t="s">
        <v>292</v>
      </c>
      <c r="C125" s="172" t="s">
        <v>293</v>
      </c>
      <c r="D125" s="44"/>
      <c r="E125" s="45"/>
      <c r="F125" s="40"/>
      <c r="G125" s="41"/>
      <c r="H125" s="42"/>
      <c r="I125" s="43"/>
      <c r="K125" s="17"/>
    </row>
    <row r="126" spans="1:11" x14ac:dyDescent="0.2">
      <c r="A126" s="692">
        <v>116</v>
      </c>
      <c r="B126" s="37" t="s">
        <v>294</v>
      </c>
      <c r="C126" s="111" t="s">
        <v>295</v>
      </c>
      <c r="D126" s="44"/>
      <c r="E126" s="45"/>
      <c r="F126" s="40"/>
      <c r="G126" s="41"/>
      <c r="H126" s="42"/>
      <c r="I126" s="43"/>
      <c r="K126" s="17"/>
    </row>
    <row r="127" spans="1:11" x14ac:dyDescent="0.2">
      <c r="A127" s="692">
        <v>117</v>
      </c>
      <c r="B127" s="46" t="s">
        <v>70</v>
      </c>
      <c r="C127" s="111" t="s">
        <v>296</v>
      </c>
      <c r="D127" s="44"/>
      <c r="E127" s="45"/>
      <c r="F127" s="40"/>
      <c r="G127" s="41"/>
      <c r="H127" s="42"/>
      <c r="I127" s="43"/>
      <c r="K127" s="17"/>
    </row>
    <row r="128" spans="1:11" x14ac:dyDescent="0.2">
      <c r="A128" s="692">
        <v>118</v>
      </c>
      <c r="B128" s="46" t="s">
        <v>72</v>
      </c>
      <c r="C128" s="111" t="s">
        <v>73</v>
      </c>
      <c r="D128" s="44"/>
      <c r="E128" s="45"/>
      <c r="F128" s="40"/>
      <c r="G128" s="41"/>
      <c r="H128" s="42"/>
      <c r="I128" s="43"/>
      <c r="K128" s="17"/>
    </row>
    <row r="129" spans="1:11" x14ac:dyDescent="0.2">
      <c r="A129" s="692">
        <v>119</v>
      </c>
      <c r="B129" s="37" t="s">
        <v>34</v>
      </c>
      <c r="C129" s="111" t="s">
        <v>35</v>
      </c>
      <c r="D129" s="44"/>
      <c r="E129" s="45"/>
      <c r="F129" s="40"/>
      <c r="G129" s="41"/>
      <c r="H129" s="42"/>
      <c r="I129" s="43"/>
      <c r="K129" s="17"/>
    </row>
    <row r="130" spans="1:11" x14ac:dyDescent="0.2">
      <c r="A130" s="692">
        <v>120</v>
      </c>
      <c r="B130" s="46" t="s">
        <v>297</v>
      </c>
      <c r="C130" s="111" t="s">
        <v>298</v>
      </c>
      <c r="D130" s="44">
        <v>93850</v>
      </c>
      <c r="E130" s="45">
        <v>8852</v>
      </c>
      <c r="F130" s="54">
        <v>794</v>
      </c>
      <c r="G130" s="41">
        <v>11900</v>
      </c>
      <c r="H130" s="47">
        <v>197</v>
      </c>
      <c r="I130" s="43">
        <v>2170</v>
      </c>
      <c r="K130" s="17"/>
    </row>
    <row r="131" spans="1:11" x14ac:dyDescent="0.2">
      <c r="A131" s="692">
        <v>121</v>
      </c>
      <c r="B131" s="37" t="s">
        <v>299</v>
      </c>
      <c r="C131" s="111" t="s">
        <v>300</v>
      </c>
      <c r="D131" s="44"/>
      <c r="E131" s="45"/>
      <c r="F131" s="40"/>
      <c r="G131" s="41"/>
      <c r="H131" s="42"/>
      <c r="I131" s="43"/>
      <c r="K131" s="17"/>
    </row>
    <row r="132" spans="1:11" x14ac:dyDescent="0.2">
      <c r="A132" s="692">
        <v>122</v>
      </c>
      <c r="B132" s="37" t="s">
        <v>301</v>
      </c>
      <c r="C132" s="111" t="s">
        <v>302</v>
      </c>
      <c r="D132" s="44"/>
      <c r="E132" s="45"/>
      <c r="F132" s="40"/>
      <c r="G132" s="41"/>
      <c r="H132" s="42"/>
      <c r="I132" s="43"/>
      <c r="K132" s="17"/>
    </row>
    <row r="133" spans="1:11" x14ac:dyDescent="0.2">
      <c r="A133" s="692">
        <v>123</v>
      </c>
      <c r="B133" s="46" t="s">
        <v>16</v>
      </c>
      <c r="C133" s="111" t="s">
        <v>17</v>
      </c>
      <c r="D133" s="44"/>
      <c r="E133" s="45"/>
      <c r="F133" s="40"/>
      <c r="G133" s="41"/>
      <c r="H133" s="42"/>
      <c r="I133" s="43"/>
      <c r="K133" s="17"/>
    </row>
    <row r="134" spans="1:11" x14ac:dyDescent="0.2">
      <c r="A134" s="692">
        <v>124</v>
      </c>
      <c r="B134" s="46" t="s">
        <v>68</v>
      </c>
      <c r="C134" s="111" t="s">
        <v>69</v>
      </c>
      <c r="D134" s="44"/>
      <c r="E134" s="45"/>
      <c r="F134" s="40"/>
      <c r="G134" s="41"/>
      <c r="H134" s="42"/>
      <c r="I134" s="43"/>
      <c r="K134" s="17"/>
    </row>
    <row r="135" spans="1:11" x14ac:dyDescent="0.2">
      <c r="A135" s="692">
        <v>125</v>
      </c>
      <c r="B135" s="46" t="s">
        <v>60</v>
      </c>
      <c r="C135" s="111" t="s">
        <v>303</v>
      </c>
      <c r="D135" s="44"/>
      <c r="E135" s="45"/>
      <c r="F135" s="40"/>
      <c r="G135" s="41"/>
      <c r="H135" s="42"/>
      <c r="I135" s="43"/>
      <c r="K135" s="17"/>
    </row>
    <row r="136" spans="1:11" x14ac:dyDescent="0.2">
      <c r="A136" s="692">
        <v>126</v>
      </c>
      <c r="B136" s="46" t="s">
        <v>56</v>
      </c>
      <c r="C136" s="111" t="s">
        <v>304</v>
      </c>
      <c r="D136" s="44">
        <v>5297</v>
      </c>
      <c r="E136" s="45"/>
      <c r="F136" s="40"/>
      <c r="G136" s="41"/>
      <c r="H136" s="42"/>
      <c r="I136" s="43"/>
      <c r="K136" s="17"/>
    </row>
    <row r="137" spans="1:11" x14ac:dyDescent="0.2">
      <c r="A137" s="692">
        <v>127</v>
      </c>
      <c r="B137" s="46" t="s">
        <v>305</v>
      </c>
      <c r="C137" s="111" t="s">
        <v>306</v>
      </c>
      <c r="D137" s="44"/>
      <c r="E137" s="45"/>
      <c r="F137" s="40"/>
      <c r="G137" s="41"/>
      <c r="H137" s="42"/>
      <c r="I137" s="43"/>
      <c r="K137" s="17"/>
    </row>
    <row r="138" spans="1:11" x14ac:dyDescent="0.2">
      <c r="A138" s="692">
        <v>128</v>
      </c>
      <c r="B138" s="37" t="s">
        <v>307</v>
      </c>
      <c r="C138" s="111" t="s">
        <v>308</v>
      </c>
      <c r="D138" s="44"/>
      <c r="E138" s="45"/>
      <c r="F138" s="40"/>
      <c r="G138" s="41"/>
      <c r="H138" s="42"/>
      <c r="I138" s="43"/>
      <c r="K138" s="17"/>
    </row>
    <row r="139" spans="1:11" x14ac:dyDescent="0.2">
      <c r="A139" s="692">
        <v>129</v>
      </c>
      <c r="B139" s="55" t="s">
        <v>309</v>
      </c>
      <c r="C139" s="174" t="s">
        <v>310</v>
      </c>
      <c r="D139" s="56"/>
      <c r="E139" s="57"/>
      <c r="F139" s="40"/>
      <c r="G139" s="41"/>
      <c r="H139" s="42"/>
      <c r="I139" s="43"/>
      <c r="K139" s="17"/>
    </row>
    <row r="140" spans="1:11" x14ac:dyDescent="0.2">
      <c r="A140" s="692">
        <v>130</v>
      </c>
      <c r="B140" s="58" t="s">
        <v>311</v>
      </c>
      <c r="C140" s="51" t="s">
        <v>312</v>
      </c>
      <c r="D140" s="44"/>
      <c r="E140" s="43"/>
      <c r="F140" s="693"/>
      <c r="G140" s="41"/>
      <c r="H140" s="42"/>
      <c r="I140" s="43"/>
      <c r="K140" s="17"/>
    </row>
    <row r="141" spans="1:11" x14ac:dyDescent="0.2">
      <c r="A141" s="692">
        <v>131</v>
      </c>
      <c r="B141" s="59" t="s">
        <v>313</v>
      </c>
      <c r="C141" s="113" t="s">
        <v>314</v>
      </c>
      <c r="D141" s="44"/>
      <c r="E141" s="43"/>
      <c r="F141" s="693"/>
      <c r="G141" s="43"/>
      <c r="H141" s="694"/>
      <c r="I141" s="43"/>
      <c r="K141" s="17"/>
    </row>
    <row r="142" spans="1:11" x14ac:dyDescent="0.2">
      <c r="A142" s="692">
        <v>132</v>
      </c>
      <c r="B142" s="61" t="s">
        <v>315</v>
      </c>
      <c r="C142" s="695" t="s">
        <v>316</v>
      </c>
      <c r="D142" s="44"/>
      <c r="E142" s="43"/>
      <c r="F142" s="693"/>
      <c r="G142" s="43"/>
      <c r="H142" s="694"/>
      <c r="I142" s="43"/>
      <c r="K142" s="17"/>
    </row>
    <row r="143" spans="1:11" x14ac:dyDescent="0.2">
      <c r="A143" s="692">
        <v>133</v>
      </c>
      <c r="B143" s="63" t="s">
        <v>317</v>
      </c>
      <c r="C143" s="696" t="s">
        <v>318</v>
      </c>
      <c r="D143" s="44"/>
      <c r="E143" s="43"/>
      <c r="F143" s="693"/>
      <c r="G143" s="43"/>
      <c r="H143" s="694"/>
      <c r="I143" s="43"/>
      <c r="K143" s="17"/>
    </row>
    <row r="144" spans="1:11" x14ac:dyDescent="0.2">
      <c r="A144" s="692">
        <v>134</v>
      </c>
      <c r="B144" s="65" t="s">
        <v>319</v>
      </c>
      <c r="C144" s="64" t="s">
        <v>320</v>
      </c>
      <c r="D144" s="44"/>
      <c r="E144" s="43"/>
      <c r="F144" s="693"/>
      <c r="G144" s="43"/>
      <c r="H144" s="694"/>
      <c r="I144" s="43"/>
      <c r="K144" s="17"/>
    </row>
    <row r="145" spans="1:11" s="66" customFormat="1" ht="13.5" thickBot="1" x14ac:dyDescent="0.25">
      <c r="A145" s="697">
        <v>135</v>
      </c>
      <c r="B145" s="698" t="s">
        <v>728</v>
      </c>
      <c r="C145" s="699" t="s">
        <v>729</v>
      </c>
      <c r="D145" s="700"/>
      <c r="E145" s="701"/>
      <c r="F145" s="702"/>
      <c r="G145" s="701"/>
      <c r="H145" s="703"/>
      <c r="I145" s="701"/>
      <c r="J145" s="67"/>
      <c r="K145" s="17"/>
    </row>
    <row r="146" spans="1:11" x14ac:dyDescent="0.2">
      <c r="F146" s="17"/>
      <c r="H146" s="17"/>
      <c r="K146" s="17"/>
    </row>
    <row r="147" spans="1:11" x14ac:dyDescent="0.2">
      <c r="F147" s="19"/>
    </row>
    <row r="148" spans="1:11" s="68" customFormat="1" x14ac:dyDescent="0.2">
      <c r="C148" s="69"/>
      <c r="D148" s="67"/>
      <c r="E148" s="70"/>
      <c r="F148" s="71"/>
      <c r="G148" s="70"/>
      <c r="H148" s="72"/>
      <c r="I148" s="70"/>
      <c r="J148" s="70"/>
    </row>
    <row r="149" spans="1:11" x14ac:dyDescent="0.2">
      <c r="F149" s="19"/>
      <c r="G149" s="73"/>
      <c r="I149" s="73"/>
    </row>
    <row r="150" spans="1:11" x14ac:dyDescent="0.2">
      <c r="E150" s="74"/>
      <c r="G150" s="74"/>
      <c r="I150" s="74"/>
    </row>
    <row r="152" spans="1:11" x14ac:dyDescent="0.2">
      <c r="F152" s="19"/>
      <c r="G152" s="73"/>
      <c r="I152" s="73"/>
    </row>
    <row r="153" spans="1:11" x14ac:dyDescent="0.2">
      <c r="G153" s="74"/>
      <c r="I153" s="74"/>
    </row>
  </sheetData>
  <mergeCells count="12">
    <mergeCell ref="A1:I1"/>
    <mergeCell ref="A3:A4"/>
    <mergeCell ref="B3:B4"/>
    <mergeCell ref="C3:C4"/>
    <mergeCell ref="D3:E3"/>
    <mergeCell ref="F3:G3"/>
    <mergeCell ref="H3:I3"/>
    <mergeCell ref="A5:C5"/>
    <mergeCell ref="A6:C6"/>
    <mergeCell ref="A7:C7"/>
    <mergeCell ref="A86:A89"/>
    <mergeCell ref="B86:B8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149"/>
  <sheetViews>
    <sheetView zoomScale="90" zoomScaleNormal="90" workbookViewId="0">
      <pane xSplit="3" ySplit="7" topLeftCell="D113" activePane="bottomRight" state="frozen"/>
      <selection pane="topRight" activeCell="D1" sqref="D1"/>
      <selection pane="bottomLeft" activeCell="A8" sqref="A8"/>
      <selection pane="bottomRight" activeCell="B121" sqref="B121:C121"/>
    </sheetView>
  </sheetViews>
  <sheetFormatPr defaultRowHeight="12.75" x14ac:dyDescent="0.25"/>
  <cols>
    <col min="1" max="1" width="5.28515625" style="119" customWidth="1"/>
    <col min="2" max="2" width="9.5703125" style="119" customWidth="1"/>
    <col min="3" max="3" width="35.7109375" style="120" customWidth="1"/>
    <col min="4" max="4" width="19.140625" style="94" customWidth="1"/>
    <col min="5" max="5" width="17.140625" style="94" customWidth="1"/>
    <col min="6" max="6" width="15" style="121" customWidth="1"/>
    <col min="7" max="7" width="16.7109375" style="121" customWidth="1"/>
    <col min="8" max="16384" width="9.140625" style="119"/>
  </cols>
  <sheetData>
    <row r="1" spans="1:7" ht="15.75" x14ac:dyDescent="0.25">
      <c r="A1" s="1233" t="s">
        <v>344</v>
      </c>
      <c r="B1" s="1234"/>
      <c r="C1" s="1234"/>
      <c r="D1" s="1234"/>
      <c r="E1" s="1234"/>
      <c r="F1" s="1234"/>
      <c r="G1" s="1234"/>
    </row>
    <row r="2" spans="1:7" ht="13.5" thickBot="1" x14ac:dyDescent="0.3"/>
    <row r="3" spans="1:7" s="123" customFormat="1" ht="38.25" customHeight="1" x14ac:dyDescent="0.25">
      <c r="A3" s="1235" t="s">
        <v>0</v>
      </c>
      <c r="B3" s="1237" t="s">
        <v>337</v>
      </c>
      <c r="C3" s="1239" t="s">
        <v>93</v>
      </c>
      <c r="D3" s="1227" t="s">
        <v>338</v>
      </c>
      <c r="E3" s="1241"/>
      <c r="F3" s="1241"/>
      <c r="G3" s="122" t="s">
        <v>345</v>
      </c>
    </row>
    <row r="4" spans="1:7" s="125" customFormat="1" ht="86.25" customHeight="1" x14ac:dyDescent="0.25">
      <c r="A4" s="1236"/>
      <c r="B4" s="1238"/>
      <c r="C4" s="1240"/>
      <c r="D4" s="704" t="s">
        <v>346</v>
      </c>
      <c r="E4" s="25" t="s">
        <v>347</v>
      </c>
      <c r="F4" s="25" t="s">
        <v>348</v>
      </c>
      <c r="G4" s="124" t="s">
        <v>328</v>
      </c>
    </row>
    <row r="5" spans="1:7" s="128" customFormat="1" x14ac:dyDescent="0.25">
      <c r="A5" s="1208" t="s">
        <v>331</v>
      </c>
      <c r="B5" s="1209"/>
      <c r="C5" s="1242"/>
      <c r="D5" s="35">
        <f>SUM(D6:D7)</f>
        <v>147342</v>
      </c>
      <c r="E5" s="126">
        <f>SUM(E6:E7)</f>
        <v>22723</v>
      </c>
      <c r="F5" s="126">
        <f>SUM(F6:F7)</f>
        <v>170065</v>
      </c>
      <c r="G5" s="127">
        <f>SUM(G6:G7)</f>
        <v>302940</v>
      </c>
    </row>
    <row r="6" spans="1:7" s="128" customFormat="1" x14ac:dyDescent="0.25">
      <c r="A6" s="1211" t="s">
        <v>106</v>
      </c>
      <c r="B6" s="1212"/>
      <c r="C6" s="1214"/>
      <c r="D6" s="705"/>
      <c r="E6" s="126"/>
      <c r="F6" s="126"/>
      <c r="G6" s="129"/>
    </row>
    <row r="7" spans="1:7" s="128" customFormat="1" x14ac:dyDescent="0.25">
      <c r="A7" s="1211" t="s">
        <v>108</v>
      </c>
      <c r="B7" s="1212"/>
      <c r="C7" s="1213"/>
      <c r="D7" s="130">
        <f>SUM(D8:D145)-D86</f>
        <v>147342</v>
      </c>
      <c r="E7" s="126">
        <f t="shared" ref="E7:G7" si="0">SUM(E8:E145)-E86</f>
        <v>22723</v>
      </c>
      <c r="F7" s="136">
        <f t="shared" si="0"/>
        <v>170065</v>
      </c>
      <c r="G7" s="127">
        <f t="shared" si="0"/>
        <v>302940</v>
      </c>
    </row>
    <row r="8" spans="1:7" x14ac:dyDescent="0.25">
      <c r="A8" s="759">
        <v>1</v>
      </c>
      <c r="B8" s="48" t="s">
        <v>109</v>
      </c>
      <c r="C8" s="111" t="s">
        <v>110</v>
      </c>
      <c r="D8" s="706"/>
      <c r="E8" s="131"/>
      <c r="F8" s="126">
        <f>D8+E8</f>
        <v>0</v>
      </c>
      <c r="G8" s="132">
        <v>3300</v>
      </c>
    </row>
    <row r="9" spans="1:7" x14ac:dyDescent="0.25">
      <c r="A9" s="759">
        <v>2</v>
      </c>
      <c r="B9" s="48" t="s">
        <v>111</v>
      </c>
      <c r="C9" s="111" t="s">
        <v>112</v>
      </c>
      <c r="D9" s="103">
        <v>1544</v>
      </c>
      <c r="E9" s="131">
        <v>158</v>
      </c>
      <c r="F9" s="126">
        <f>D9+E9</f>
        <v>1702</v>
      </c>
      <c r="G9" s="132">
        <v>3300</v>
      </c>
    </row>
    <row r="10" spans="1:7" x14ac:dyDescent="0.25">
      <c r="A10" s="759">
        <v>3</v>
      </c>
      <c r="B10" s="58" t="s">
        <v>80</v>
      </c>
      <c r="C10" s="111" t="s">
        <v>81</v>
      </c>
      <c r="D10" s="103">
        <v>3547</v>
      </c>
      <c r="E10" s="131">
        <v>468</v>
      </c>
      <c r="F10" s="126">
        <f>D10+E10</f>
        <v>4015</v>
      </c>
      <c r="G10" s="132">
        <v>5280</v>
      </c>
    </row>
    <row r="11" spans="1:7" x14ac:dyDescent="0.25">
      <c r="A11" s="759">
        <v>4</v>
      </c>
      <c r="B11" s="48" t="s">
        <v>113</v>
      </c>
      <c r="C11" s="111" t="s">
        <v>114</v>
      </c>
      <c r="D11" s="103">
        <v>806</v>
      </c>
      <c r="E11" s="131"/>
      <c r="F11" s="126">
        <f>D11+E11</f>
        <v>806</v>
      </c>
      <c r="G11" s="132">
        <v>3300</v>
      </c>
    </row>
    <row r="12" spans="1:7" ht="12.75" customHeight="1" x14ac:dyDescent="0.25">
      <c r="A12" s="759">
        <v>5</v>
      </c>
      <c r="B12" s="48" t="s">
        <v>115</v>
      </c>
      <c r="C12" s="111" t="s">
        <v>116</v>
      </c>
      <c r="D12" s="103"/>
      <c r="E12" s="131"/>
      <c r="F12" s="133"/>
      <c r="G12" s="132">
        <v>3300</v>
      </c>
    </row>
    <row r="13" spans="1:7" x14ac:dyDescent="0.25">
      <c r="A13" s="759">
        <v>6</v>
      </c>
      <c r="B13" s="58" t="s">
        <v>117</v>
      </c>
      <c r="C13" s="111" t="s">
        <v>118</v>
      </c>
      <c r="D13" s="103">
        <v>7529</v>
      </c>
      <c r="E13" s="131">
        <v>586</v>
      </c>
      <c r="F13" s="133">
        <f>D13+E13</f>
        <v>8115</v>
      </c>
      <c r="G13" s="132">
        <v>6930</v>
      </c>
    </row>
    <row r="14" spans="1:7" x14ac:dyDescent="0.25">
      <c r="A14" s="759">
        <v>7</v>
      </c>
      <c r="B14" s="48" t="s">
        <v>20</v>
      </c>
      <c r="C14" s="111" t="s">
        <v>21</v>
      </c>
      <c r="D14" s="103">
        <v>3253</v>
      </c>
      <c r="E14" s="131">
        <v>420</v>
      </c>
      <c r="F14" s="133">
        <f>D14+E14</f>
        <v>3673</v>
      </c>
      <c r="G14" s="132">
        <v>3300</v>
      </c>
    </row>
    <row r="15" spans="1:7" x14ac:dyDescent="0.25">
      <c r="A15" s="759">
        <v>8</v>
      </c>
      <c r="B15" s="58" t="s">
        <v>119</v>
      </c>
      <c r="C15" s="111" t="s">
        <v>120</v>
      </c>
      <c r="D15" s="103"/>
      <c r="E15" s="131"/>
      <c r="F15" s="133"/>
      <c r="G15" s="132">
        <v>3300</v>
      </c>
    </row>
    <row r="16" spans="1:7" x14ac:dyDescent="0.25">
      <c r="A16" s="759">
        <v>9</v>
      </c>
      <c r="B16" s="58" t="s">
        <v>121</v>
      </c>
      <c r="C16" s="111" t="s">
        <v>122</v>
      </c>
      <c r="D16" s="103">
        <v>791</v>
      </c>
      <c r="E16" s="131">
        <v>99</v>
      </c>
      <c r="F16" s="133">
        <f>D16+E16</f>
        <v>890</v>
      </c>
      <c r="G16" s="132">
        <v>1650</v>
      </c>
    </row>
    <row r="17" spans="1:7" x14ac:dyDescent="0.25">
      <c r="A17" s="759">
        <v>10</v>
      </c>
      <c r="B17" s="58" t="s">
        <v>123</v>
      </c>
      <c r="C17" s="111" t="s">
        <v>124</v>
      </c>
      <c r="D17" s="103"/>
      <c r="E17" s="131"/>
      <c r="F17" s="133"/>
      <c r="G17" s="132">
        <v>3300</v>
      </c>
    </row>
    <row r="18" spans="1:7" x14ac:dyDescent="0.25">
      <c r="A18" s="759">
        <v>11</v>
      </c>
      <c r="B18" s="58" t="s">
        <v>125</v>
      </c>
      <c r="C18" s="111" t="s">
        <v>126</v>
      </c>
      <c r="D18" s="103"/>
      <c r="E18" s="131"/>
      <c r="F18" s="133"/>
      <c r="G18" s="132">
        <v>3300</v>
      </c>
    </row>
    <row r="19" spans="1:7" x14ac:dyDescent="0.25">
      <c r="A19" s="759">
        <v>12</v>
      </c>
      <c r="B19" s="58" t="s">
        <v>127</v>
      </c>
      <c r="C19" s="111" t="s">
        <v>128</v>
      </c>
      <c r="D19" s="103">
        <v>1586</v>
      </c>
      <c r="E19" s="131"/>
      <c r="F19" s="133">
        <f>D19+E19</f>
        <v>1586</v>
      </c>
      <c r="G19" s="132">
        <v>3300</v>
      </c>
    </row>
    <row r="20" spans="1:7" x14ac:dyDescent="0.25">
      <c r="A20" s="759">
        <v>13</v>
      </c>
      <c r="B20" s="758" t="s">
        <v>129</v>
      </c>
      <c r="C20" s="112" t="s">
        <v>130</v>
      </c>
      <c r="D20" s="103"/>
      <c r="E20" s="131"/>
      <c r="F20" s="133"/>
      <c r="G20" s="132"/>
    </row>
    <row r="21" spans="1:7" x14ac:dyDescent="0.25">
      <c r="A21" s="759">
        <v>14</v>
      </c>
      <c r="B21" s="58" t="s">
        <v>131</v>
      </c>
      <c r="C21" s="111" t="s">
        <v>132</v>
      </c>
      <c r="D21" s="103"/>
      <c r="E21" s="131"/>
      <c r="F21" s="133"/>
      <c r="G21" s="132">
        <v>3300</v>
      </c>
    </row>
    <row r="22" spans="1:7" x14ac:dyDescent="0.25">
      <c r="A22" s="759">
        <v>15</v>
      </c>
      <c r="B22" s="58" t="s">
        <v>133</v>
      </c>
      <c r="C22" s="111" t="s">
        <v>134</v>
      </c>
      <c r="D22" s="103"/>
      <c r="E22" s="131"/>
      <c r="F22" s="133"/>
      <c r="G22" s="132">
        <v>3300</v>
      </c>
    </row>
    <row r="23" spans="1:7" x14ac:dyDescent="0.25">
      <c r="A23" s="759">
        <v>16</v>
      </c>
      <c r="B23" s="58" t="s">
        <v>135</v>
      </c>
      <c r="C23" s="111" t="s">
        <v>136</v>
      </c>
      <c r="D23" s="103">
        <v>1883</v>
      </c>
      <c r="E23" s="131">
        <v>265</v>
      </c>
      <c r="F23" s="133">
        <f t="shared" ref="F23:F28" si="1">D23+E23</f>
        <v>2148</v>
      </c>
      <c r="G23" s="132">
        <v>3300</v>
      </c>
    </row>
    <row r="24" spans="1:7" x14ac:dyDescent="0.25">
      <c r="A24" s="759">
        <v>17</v>
      </c>
      <c r="B24" s="58" t="s">
        <v>30</v>
      </c>
      <c r="C24" s="111" t="s">
        <v>31</v>
      </c>
      <c r="D24" s="103">
        <v>5517</v>
      </c>
      <c r="E24" s="131">
        <v>798</v>
      </c>
      <c r="F24" s="133">
        <f t="shared" si="1"/>
        <v>6315</v>
      </c>
      <c r="G24" s="132">
        <v>5280</v>
      </c>
    </row>
    <row r="25" spans="1:7" x14ac:dyDescent="0.25">
      <c r="A25" s="759">
        <v>18</v>
      </c>
      <c r="B25" s="48" t="s">
        <v>137</v>
      </c>
      <c r="C25" s="111" t="s">
        <v>138</v>
      </c>
      <c r="D25" s="103">
        <v>589</v>
      </c>
      <c r="E25" s="131">
        <v>95</v>
      </c>
      <c r="F25" s="133">
        <f t="shared" si="1"/>
        <v>684</v>
      </c>
      <c r="G25" s="132">
        <v>1650</v>
      </c>
    </row>
    <row r="26" spans="1:7" x14ac:dyDescent="0.25">
      <c r="A26" s="759">
        <v>19</v>
      </c>
      <c r="B26" s="48" t="s">
        <v>139</v>
      </c>
      <c r="C26" s="111" t="s">
        <v>140</v>
      </c>
      <c r="D26" s="103">
        <v>1498</v>
      </c>
      <c r="E26" s="131">
        <v>192</v>
      </c>
      <c r="F26" s="133">
        <f t="shared" si="1"/>
        <v>1690</v>
      </c>
      <c r="G26" s="132">
        <v>3300</v>
      </c>
    </row>
    <row r="27" spans="1:7" x14ac:dyDescent="0.25">
      <c r="A27" s="759">
        <v>20</v>
      </c>
      <c r="B27" s="48" t="s">
        <v>84</v>
      </c>
      <c r="C27" s="111" t="s">
        <v>85</v>
      </c>
      <c r="D27" s="103">
        <v>2496</v>
      </c>
      <c r="E27" s="131">
        <v>306</v>
      </c>
      <c r="F27" s="133">
        <f t="shared" si="1"/>
        <v>2802</v>
      </c>
      <c r="G27" s="132">
        <v>3300</v>
      </c>
    </row>
    <row r="28" spans="1:7" x14ac:dyDescent="0.25">
      <c r="A28" s="759">
        <v>21</v>
      </c>
      <c r="B28" s="48" t="s">
        <v>141</v>
      </c>
      <c r="C28" s="111" t="s">
        <v>142</v>
      </c>
      <c r="D28" s="103">
        <v>2084</v>
      </c>
      <c r="E28" s="131">
        <v>471</v>
      </c>
      <c r="F28" s="133">
        <f t="shared" si="1"/>
        <v>2555</v>
      </c>
      <c r="G28" s="132">
        <v>5280</v>
      </c>
    </row>
    <row r="29" spans="1:7" x14ac:dyDescent="0.25">
      <c r="A29" s="759">
        <v>22</v>
      </c>
      <c r="B29" s="58" t="s">
        <v>143</v>
      </c>
      <c r="C29" s="111" t="s">
        <v>144</v>
      </c>
      <c r="D29" s="103"/>
      <c r="E29" s="131"/>
      <c r="F29" s="133"/>
      <c r="G29" s="132"/>
    </row>
    <row r="30" spans="1:7" x14ac:dyDescent="0.25">
      <c r="A30" s="759">
        <v>23</v>
      </c>
      <c r="B30" s="58" t="s">
        <v>145</v>
      </c>
      <c r="C30" s="111" t="s">
        <v>146</v>
      </c>
      <c r="D30" s="103"/>
      <c r="E30" s="131"/>
      <c r="F30" s="133"/>
      <c r="G30" s="132"/>
    </row>
    <row r="31" spans="1:7" ht="25.5" x14ac:dyDescent="0.25">
      <c r="A31" s="759">
        <v>24</v>
      </c>
      <c r="B31" s="58" t="s">
        <v>147</v>
      </c>
      <c r="C31" s="111" t="s">
        <v>148</v>
      </c>
      <c r="D31" s="103"/>
      <c r="E31" s="131"/>
      <c r="F31" s="133"/>
      <c r="G31" s="132"/>
    </row>
    <row r="32" spans="1:7" x14ac:dyDescent="0.25">
      <c r="A32" s="759">
        <v>25</v>
      </c>
      <c r="B32" s="48" t="s">
        <v>149</v>
      </c>
      <c r="C32" s="111" t="s">
        <v>150</v>
      </c>
      <c r="D32" s="103">
        <v>12043</v>
      </c>
      <c r="E32" s="131">
        <v>804</v>
      </c>
      <c r="F32" s="133">
        <f>D32+E32</f>
        <v>12847</v>
      </c>
      <c r="G32" s="132">
        <v>6600</v>
      </c>
    </row>
    <row r="33" spans="1:7" x14ac:dyDescent="0.25">
      <c r="A33" s="759">
        <v>26</v>
      </c>
      <c r="B33" s="58" t="s">
        <v>151</v>
      </c>
      <c r="C33" s="111" t="s">
        <v>152</v>
      </c>
      <c r="D33" s="103"/>
      <c r="E33" s="131">
        <v>434</v>
      </c>
      <c r="F33" s="133">
        <f>D33+E33</f>
        <v>434</v>
      </c>
      <c r="G33" s="132">
        <f>330+310</f>
        <v>640</v>
      </c>
    </row>
    <row r="34" spans="1:7" x14ac:dyDescent="0.25">
      <c r="A34" s="759">
        <v>27</v>
      </c>
      <c r="B34" s="48" t="s">
        <v>153</v>
      </c>
      <c r="C34" s="111" t="s">
        <v>154</v>
      </c>
      <c r="D34" s="103"/>
      <c r="E34" s="131"/>
      <c r="F34" s="133"/>
      <c r="G34" s="132"/>
    </row>
    <row r="35" spans="1:7" ht="15.75" customHeight="1" x14ac:dyDescent="0.25">
      <c r="A35" s="759">
        <v>28</v>
      </c>
      <c r="B35" s="48" t="s">
        <v>155</v>
      </c>
      <c r="C35" s="111" t="s">
        <v>156</v>
      </c>
      <c r="D35" s="103"/>
      <c r="E35" s="131"/>
      <c r="F35" s="133"/>
      <c r="G35" s="132"/>
    </row>
    <row r="36" spans="1:7" x14ac:dyDescent="0.25">
      <c r="A36" s="759">
        <v>29</v>
      </c>
      <c r="B36" s="58" t="s">
        <v>157</v>
      </c>
      <c r="C36" s="111" t="s">
        <v>158</v>
      </c>
      <c r="D36" s="103">
        <v>4156</v>
      </c>
      <c r="E36" s="131">
        <v>751</v>
      </c>
      <c r="F36" s="133">
        <f>D36+E36</f>
        <v>4907</v>
      </c>
      <c r="G36" s="132">
        <v>5280</v>
      </c>
    </row>
    <row r="37" spans="1:7" x14ac:dyDescent="0.25">
      <c r="A37" s="759">
        <v>30</v>
      </c>
      <c r="B37" s="48" t="s">
        <v>46</v>
      </c>
      <c r="C37" s="111" t="s">
        <v>47</v>
      </c>
      <c r="D37" s="103">
        <v>5207</v>
      </c>
      <c r="E37" s="131">
        <v>880</v>
      </c>
      <c r="F37" s="133">
        <f>D37+E37</f>
        <v>6087</v>
      </c>
      <c r="G37" s="132">
        <v>4950</v>
      </c>
    </row>
    <row r="38" spans="1:7" x14ac:dyDescent="0.25">
      <c r="A38" s="759">
        <v>31</v>
      </c>
      <c r="B38" s="48" t="s">
        <v>159</v>
      </c>
      <c r="C38" s="111" t="s">
        <v>160</v>
      </c>
      <c r="D38" s="103">
        <v>886</v>
      </c>
      <c r="E38" s="131">
        <v>145</v>
      </c>
      <c r="F38" s="133">
        <f>D38+E38</f>
        <v>1031</v>
      </c>
      <c r="G38" s="132">
        <v>3300</v>
      </c>
    </row>
    <row r="39" spans="1:7" x14ac:dyDescent="0.25">
      <c r="A39" s="759">
        <v>32</v>
      </c>
      <c r="B39" s="48" t="s">
        <v>58</v>
      </c>
      <c r="C39" s="111" t="s">
        <v>59</v>
      </c>
      <c r="D39" s="103">
        <v>2992</v>
      </c>
      <c r="E39" s="131">
        <v>446</v>
      </c>
      <c r="F39" s="133">
        <f>D39+E39</f>
        <v>3438</v>
      </c>
      <c r="G39" s="132">
        <v>4950</v>
      </c>
    </row>
    <row r="40" spans="1:7" x14ac:dyDescent="0.25">
      <c r="A40" s="759">
        <v>33</v>
      </c>
      <c r="B40" s="48" t="s">
        <v>161</v>
      </c>
      <c r="C40" s="111" t="s">
        <v>162</v>
      </c>
      <c r="D40" s="103"/>
      <c r="E40" s="131"/>
      <c r="F40" s="133"/>
      <c r="G40" s="132">
        <v>3300</v>
      </c>
    </row>
    <row r="41" spans="1:7" x14ac:dyDescent="0.25">
      <c r="A41" s="759">
        <v>34</v>
      </c>
      <c r="B41" s="58" t="s">
        <v>82</v>
      </c>
      <c r="C41" s="111" t="s">
        <v>83</v>
      </c>
      <c r="D41" s="103">
        <v>3554</v>
      </c>
      <c r="E41" s="131">
        <v>529</v>
      </c>
      <c r="F41" s="133">
        <f>D41+E41</f>
        <v>4083</v>
      </c>
      <c r="G41" s="132">
        <v>3300</v>
      </c>
    </row>
    <row r="42" spans="1:7" x14ac:dyDescent="0.25">
      <c r="A42" s="759">
        <v>35</v>
      </c>
      <c r="B42" s="48" t="s">
        <v>163</v>
      </c>
      <c r="C42" s="111" t="s">
        <v>164</v>
      </c>
      <c r="D42" s="103"/>
      <c r="E42" s="131"/>
      <c r="F42" s="133"/>
      <c r="G42" s="132">
        <v>3300</v>
      </c>
    </row>
    <row r="43" spans="1:7" x14ac:dyDescent="0.25">
      <c r="A43" s="759">
        <v>36</v>
      </c>
      <c r="B43" s="48" t="s">
        <v>165</v>
      </c>
      <c r="C43" s="111" t="s">
        <v>166</v>
      </c>
      <c r="D43" s="103">
        <v>690</v>
      </c>
      <c r="E43" s="131">
        <v>84</v>
      </c>
      <c r="F43" s="133">
        <f>D43+E43</f>
        <v>774</v>
      </c>
      <c r="G43" s="132">
        <v>3300</v>
      </c>
    </row>
    <row r="44" spans="1:7" x14ac:dyDescent="0.25">
      <c r="A44" s="759">
        <v>37</v>
      </c>
      <c r="B44" s="134" t="s">
        <v>86</v>
      </c>
      <c r="C44" s="113" t="s">
        <v>87</v>
      </c>
      <c r="D44" s="103"/>
      <c r="E44" s="131"/>
      <c r="F44" s="133"/>
      <c r="G44" s="132">
        <v>3300</v>
      </c>
    </row>
    <row r="45" spans="1:7" x14ac:dyDescent="0.25">
      <c r="A45" s="759">
        <v>38</v>
      </c>
      <c r="B45" s="48" t="s">
        <v>167</v>
      </c>
      <c r="C45" s="111" t="s">
        <v>168</v>
      </c>
      <c r="D45" s="103"/>
      <c r="E45" s="131"/>
      <c r="F45" s="133"/>
      <c r="G45" s="132">
        <v>3300</v>
      </c>
    </row>
    <row r="46" spans="1:7" x14ac:dyDescent="0.25">
      <c r="A46" s="759">
        <v>39</v>
      </c>
      <c r="B46" s="48" t="s">
        <v>169</v>
      </c>
      <c r="C46" s="111" t="s">
        <v>170</v>
      </c>
      <c r="D46" s="103"/>
      <c r="E46" s="131"/>
      <c r="F46" s="133"/>
      <c r="G46" s="132"/>
    </row>
    <row r="47" spans="1:7" x14ac:dyDescent="0.25">
      <c r="A47" s="759">
        <v>40</v>
      </c>
      <c r="B47" s="58" t="s">
        <v>171</v>
      </c>
      <c r="C47" s="111" t="s">
        <v>172</v>
      </c>
      <c r="D47" s="103">
        <v>3773</v>
      </c>
      <c r="E47" s="131">
        <v>619</v>
      </c>
      <c r="F47" s="133">
        <f>D47+E47</f>
        <v>4392</v>
      </c>
      <c r="G47" s="132">
        <v>5280</v>
      </c>
    </row>
    <row r="48" spans="1:7" x14ac:dyDescent="0.25">
      <c r="A48" s="759">
        <v>41</v>
      </c>
      <c r="B48" s="48" t="s">
        <v>78</v>
      </c>
      <c r="C48" s="111" t="s">
        <v>79</v>
      </c>
      <c r="D48" s="103">
        <v>996</v>
      </c>
      <c r="E48" s="131">
        <v>270</v>
      </c>
      <c r="F48" s="133">
        <f>D48+E48</f>
        <v>1266</v>
      </c>
      <c r="G48" s="132">
        <v>3300</v>
      </c>
    </row>
    <row r="49" spans="1:7" x14ac:dyDescent="0.25">
      <c r="A49" s="759">
        <v>42</v>
      </c>
      <c r="B49" s="58" t="s">
        <v>173</v>
      </c>
      <c r="C49" s="111" t="s">
        <v>174</v>
      </c>
      <c r="D49" s="103">
        <v>3948</v>
      </c>
      <c r="E49" s="131">
        <v>809</v>
      </c>
      <c r="F49" s="133">
        <f>D49+E49</f>
        <v>4757</v>
      </c>
      <c r="G49" s="132">
        <v>6600</v>
      </c>
    </row>
    <row r="50" spans="1:7" x14ac:dyDescent="0.25">
      <c r="A50" s="759">
        <v>43</v>
      </c>
      <c r="B50" s="48" t="s">
        <v>175</v>
      </c>
      <c r="C50" s="111" t="s">
        <v>176</v>
      </c>
      <c r="D50" s="103"/>
      <c r="E50" s="131"/>
      <c r="F50" s="133"/>
      <c r="G50" s="132">
        <v>3300</v>
      </c>
    </row>
    <row r="51" spans="1:7" x14ac:dyDescent="0.25">
      <c r="A51" s="759">
        <v>44</v>
      </c>
      <c r="B51" s="48" t="s">
        <v>42</v>
      </c>
      <c r="C51" s="111" t="s">
        <v>43</v>
      </c>
      <c r="D51" s="103"/>
      <c r="E51" s="131"/>
      <c r="F51" s="133"/>
      <c r="G51" s="132">
        <v>3300</v>
      </c>
    </row>
    <row r="52" spans="1:7" x14ac:dyDescent="0.25">
      <c r="A52" s="759">
        <v>45</v>
      </c>
      <c r="B52" s="58" t="s">
        <v>177</v>
      </c>
      <c r="C52" s="111" t="s">
        <v>178</v>
      </c>
      <c r="D52" s="103">
        <v>1360</v>
      </c>
      <c r="E52" s="131">
        <v>394</v>
      </c>
      <c r="F52" s="133">
        <f t="shared" ref="F52:F57" si="2">D52+E52</f>
        <v>1754</v>
      </c>
      <c r="G52" s="132">
        <v>3300</v>
      </c>
    </row>
    <row r="53" spans="1:7" x14ac:dyDescent="0.25">
      <c r="A53" s="759">
        <v>46</v>
      </c>
      <c r="B53" s="58" t="s">
        <v>179</v>
      </c>
      <c r="C53" s="111" t="s">
        <v>180</v>
      </c>
      <c r="D53" s="103">
        <v>499</v>
      </c>
      <c r="E53" s="131"/>
      <c r="F53" s="133">
        <f t="shared" si="2"/>
        <v>499</v>
      </c>
      <c r="G53" s="132">
        <v>3300</v>
      </c>
    </row>
    <row r="54" spans="1:7" x14ac:dyDescent="0.25">
      <c r="A54" s="759">
        <v>47</v>
      </c>
      <c r="B54" s="48" t="s">
        <v>181</v>
      </c>
      <c r="C54" s="111" t="s">
        <v>182</v>
      </c>
      <c r="D54" s="103">
        <v>929</v>
      </c>
      <c r="E54" s="131">
        <v>113</v>
      </c>
      <c r="F54" s="133">
        <f t="shared" si="2"/>
        <v>1042</v>
      </c>
      <c r="G54" s="132">
        <v>3300</v>
      </c>
    </row>
    <row r="55" spans="1:7" x14ac:dyDescent="0.25">
      <c r="A55" s="759">
        <v>48</v>
      </c>
      <c r="B55" s="58" t="s">
        <v>183</v>
      </c>
      <c r="C55" s="111" t="s">
        <v>184</v>
      </c>
      <c r="D55" s="103">
        <v>1392</v>
      </c>
      <c r="E55" s="131"/>
      <c r="F55" s="133">
        <f t="shared" si="2"/>
        <v>1392</v>
      </c>
      <c r="G55" s="132">
        <v>3300</v>
      </c>
    </row>
    <row r="56" spans="1:7" x14ac:dyDescent="0.25">
      <c r="A56" s="759">
        <v>49</v>
      </c>
      <c r="B56" s="48" t="s">
        <v>185</v>
      </c>
      <c r="C56" s="111" t="s">
        <v>186</v>
      </c>
      <c r="D56" s="103">
        <v>4643</v>
      </c>
      <c r="E56" s="131">
        <v>668</v>
      </c>
      <c r="F56" s="133">
        <f t="shared" si="2"/>
        <v>5311</v>
      </c>
      <c r="G56" s="132">
        <v>4950</v>
      </c>
    </row>
    <row r="57" spans="1:7" x14ac:dyDescent="0.25">
      <c r="A57" s="759">
        <v>50</v>
      </c>
      <c r="B57" s="58" t="s">
        <v>187</v>
      </c>
      <c r="C57" s="111" t="s">
        <v>188</v>
      </c>
      <c r="D57" s="103">
        <v>779</v>
      </c>
      <c r="E57" s="131"/>
      <c r="F57" s="133">
        <f t="shared" si="2"/>
        <v>779</v>
      </c>
      <c r="G57" s="132">
        <v>3300</v>
      </c>
    </row>
    <row r="58" spans="1:7" x14ac:dyDescent="0.25">
      <c r="A58" s="759">
        <v>51</v>
      </c>
      <c r="B58" s="58" t="s">
        <v>189</v>
      </c>
      <c r="C58" s="111" t="s">
        <v>190</v>
      </c>
      <c r="D58" s="103"/>
      <c r="E58" s="131"/>
      <c r="F58" s="133"/>
      <c r="G58" s="132"/>
    </row>
    <row r="59" spans="1:7" ht="16.5" customHeight="1" x14ac:dyDescent="0.25">
      <c r="A59" s="759">
        <v>52</v>
      </c>
      <c r="B59" s="758" t="s">
        <v>191</v>
      </c>
      <c r="C59" s="112" t="s">
        <v>192</v>
      </c>
      <c r="D59" s="103"/>
      <c r="E59" s="131"/>
      <c r="F59" s="133"/>
      <c r="G59" s="132"/>
    </row>
    <row r="60" spans="1:7" ht="16.5" customHeight="1" x14ac:dyDescent="0.25">
      <c r="A60" s="759">
        <v>53</v>
      </c>
      <c r="B60" s="58" t="s">
        <v>22</v>
      </c>
      <c r="C60" s="111" t="s">
        <v>23</v>
      </c>
      <c r="D60" s="103"/>
      <c r="E60" s="131"/>
      <c r="F60" s="133"/>
      <c r="G60" s="132"/>
    </row>
    <row r="61" spans="1:7" ht="16.5" customHeight="1" x14ac:dyDescent="0.25">
      <c r="A61" s="759">
        <v>54</v>
      </c>
      <c r="B61" s="58" t="s">
        <v>24</v>
      </c>
      <c r="C61" s="111" t="s">
        <v>25</v>
      </c>
      <c r="D61" s="103"/>
      <c r="E61" s="131"/>
      <c r="F61" s="133"/>
      <c r="G61" s="132"/>
    </row>
    <row r="62" spans="1:7" ht="16.5" customHeight="1" x14ac:dyDescent="0.25">
      <c r="A62" s="759">
        <v>55</v>
      </c>
      <c r="B62" s="58" t="s">
        <v>193</v>
      </c>
      <c r="C62" s="111" t="s">
        <v>194</v>
      </c>
      <c r="D62" s="103"/>
      <c r="E62" s="131"/>
      <c r="F62" s="133"/>
      <c r="G62" s="132"/>
    </row>
    <row r="63" spans="1:7" ht="16.5" customHeight="1" x14ac:dyDescent="0.25">
      <c r="A63" s="759">
        <v>56</v>
      </c>
      <c r="B63" s="48" t="s">
        <v>26</v>
      </c>
      <c r="C63" s="111" t="s">
        <v>27</v>
      </c>
      <c r="D63" s="103"/>
      <c r="E63" s="131">
        <v>549</v>
      </c>
      <c r="F63" s="133">
        <f>D63+E63</f>
        <v>549</v>
      </c>
      <c r="G63" s="132"/>
    </row>
    <row r="64" spans="1:7" ht="16.5" customHeight="1" x14ac:dyDescent="0.25">
      <c r="A64" s="759">
        <v>57</v>
      </c>
      <c r="B64" s="48" t="s">
        <v>28</v>
      </c>
      <c r="C64" s="111" t="s">
        <v>29</v>
      </c>
      <c r="D64" s="103"/>
      <c r="E64" s="131"/>
      <c r="F64" s="133"/>
      <c r="G64" s="132"/>
    </row>
    <row r="65" spans="1:7" ht="24" customHeight="1" x14ac:dyDescent="0.25">
      <c r="A65" s="759">
        <v>58</v>
      </c>
      <c r="B65" s="48" t="s">
        <v>196</v>
      </c>
      <c r="C65" s="111" t="s">
        <v>197</v>
      </c>
      <c r="D65" s="103"/>
      <c r="E65" s="131"/>
      <c r="F65" s="133"/>
      <c r="G65" s="132"/>
    </row>
    <row r="66" spans="1:7" ht="24" customHeight="1" x14ac:dyDescent="0.25">
      <c r="A66" s="759">
        <v>59</v>
      </c>
      <c r="B66" s="58" t="s">
        <v>198</v>
      </c>
      <c r="C66" s="111" t="s">
        <v>199</v>
      </c>
      <c r="D66" s="103"/>
      <c r="E66" s="131"/>
      <c r="F66" s="133"/>
      <c r="G66" s="132"/>
    </row>
    <row r="67" spans="1:7" x14ac:dyDescent="0.25">
      <c r="A67" s="759">
        <v>60</v>
      </c>
      <c r="B67" s="48" t="s">
        <v>62</v>
      </c>
      <c r="C67" s="111" t="s">
        <v>200</v>
      </c>
      <c r="D67" s="103">
        <v>3563</v>
      </c>
      <c r="E67" s="131">
        <v>809</v>
      </c>
      <c r="F67" s="133">
        <f>D67+E67</f>
        <v>4372</v>
      </c>
      <c r="G67" s="132"/>
    </row>
    <row r="68" spans="1:7" x14ac:dyDescent="0.25">
      <c r="A68" s="759">
        <v>61</v>
      </c>
      <c r="B68" s="48" t="s">
        <v>64</v>
      </c>
      <c r="C68" s="111" t="s">
        <v>201</v>
      </c>
      <c r="D68" s="103">
        <v>2130</v>
      </c>
      <c r="E68" s="131">
        <v>920</v>
      </c>
      <c r="F68" s="133">
        <f>D68+E68</f>
        <v>3050</v>
      </c>
      <c r="G68" s="132"/>
    </row>
    <row r="69" spans="1:7" x14ac:dyDescent="0.25">
      <c r="A69" s="759">
        <v>62</v>
      </c>
      <c r="B69" s="48" t="s">
        <v>66</v>
      </c>
      <c r="C69" s="111" t="s">
        <v>202</v>
      </c>
      <c r="D69" s="103">
        <v>5016</v>
      </c>
      <c r="E69" s="131"/>
      <c r="F69" s="133">
        <f>D69+E69</f>
        <v>5016</v>
      </c>
      <c r="G69" s="132"/>
    </row>
    <row r="70" spans="1:7" ht="25.5" x14ac:dyDescent="0.25">
      <c r="A70" s="759">
        <v>63</v>
      </c>
      <c r="B70" s="48" t="s">
        <v>203</v>
      </c>
      <c r="C70" s="111" t="s">
        <v>204</v>
      </c>
      <c r="D70" s="103"/>
      <c r="E70" s="131"/>
      <c r="F70" s="133"/>
      <c r="G70" s="132"/>
    </row>
    <row r="71" spans="1:7" ht="25.5" x14ac:dyDescent="0.25">
      <c r="A71" s="759">
        <v>64</v>
      </c>
      <c r="B71" s="48" t="s">
        <v>205</v>
      </c>
      <c r="C71" s="111" t="s">
        <v>206</v>
      </c>
      <c r="D71" s="103"/>
      <c r="E71" s="131"/>
      <c r="F71" s="133"/>
      <c r="G71" s="132"/>
    </row>
    <row r="72" spans="1:7" ht="25.5" x14ac:dyDescent="0.25">
      <c r="A72" s="759">
        <v>65</v>
      </c>
      <c r="B72" s="48" t="s">
        <v>207</v>
      </c>
      <c r="C72" s="111" t="s">
        <v>208</v>
      </c>
      <c r="D72" s="103"/>
      <c r="E72" s="131"/>
      <c r="F72" s="133"/>
      <c r="G72" s="132"/>
    </row>
    <row r="73" spans="1:7" ht="25.5" x14ac:dyDescent="0.25">
      <c r="A73" s="759">
        <v>66</v>
      </c>
      <c r="B73" s="48" t="s">
        <v>209</v>
      </c>
      <c r="C73" s="111" t="s">
        <v>210</v>
      </c>
      <c r="D73" s="103"/>
      <c r="E73" s="131"/>
      <c r="F73" s="133"/>
      <c r="G73" s="132"/>
    </row>
    <row r="74" spans="1:7" ht="25.5" x14ac:dyDescent="0.25">
      <c r="A74" s="759">
        <v>67</v>
      </c>
      <c r="B74" s="58" t="s">
        <v>211</v>
      </c>
      <c r="C74" s="111" t="s">
        <v>212</v>
      </c>
      <c r="D74" s="103"/>
      <c r="E74" s="131"/>
      <c r="F74" s="133"/>
      <c r="G74" s="132"/>
    </row>
    <row r="75" spans="1:7" ht="25.5" x14ac:dyDescent="0.25">
      <c r="A75" s="759">
        <v>68</v>
      </c>
      <c r="B75" s="48" t="s">
        <v>213</v>
      </c>
      <c r="C75" s="111" t="s">
        <v>214</v>
      </c>
      <c r="D75" s="103"/>
      <c r="E75" s="131"/>
      <c r="F75" s="133"/>
      <c r="G75" s="132"/>
    </row>
    <row r="76" spans="1:7" ht="25.5" x14ac:dyDescent="0.25">
      <c r="A76" s="759">
        <v>69</v>
      </c>
      <c r="B76" s="58" t="s">
        <v>215</v>
      </c>
      <c r="C76" s="111" t="s">
        <v>216</v>
      </c>
      <c r="D76" s="103"/>
      <c r="E76" s="131"/>
      <c r="F76" s="133"/>
      <c r="G76" s="132"/>
    </row>
    <row r="77" spans="1:7" ht="14.25" customHeight="1" x14ac:dyDescent="0.25">
      <c r="A77" s="759">
        <v>70</v>
      </c>
      <c r="B77" s="48" t="s">
        <v>217</v>
      </c>
      <c r="C77" s="111" t="s">
        <v>218</v>
      </c>
      <c r="D77" s="103">
        <v>2562</v>
      </c>
      <c r="E77" s="131"/>
      <c r="F77" s="133">
        <f t="shared" ref="F77:F83" si="3">D77+E77</f>
        <v>2562</v>
      </c>
      <c r="G77" s="132">
        <v>4950</v>
      </c>
    </row>
    <row r="78" spans="1:7" x14ac:dyDescent="0.25">
      <c r="A78" s="759">
        <v>71</v>
      </c>
      <c r="B78" s="58" t="s">
        <v>50</v>
      </c>
      <c r="C78" s="111" t="s">
        <v>219</v>
      </c>
      <c r="D78" s="103">
        <v>6848</v>
      </c>
      <c r="E78" s="131">
        <v>1021</v>
      </c>
      <c r="F78" s="133">
        <f t="shared" si="3"/>
        <v>7869</v>
      </c>
      <c r="G78" s="132">
        <v>9900</v>
      </c>
    </row>
    <row r="79" spans="1:7" x14ac:dyDescent="0.25">
      <c r="A79" s="759">
        <v>72</v>
      </c>
      <c r="B79" s="58" t="s">
        <v>52</v>
      </c>
      <c r="C79" s="111" t="s">
        <v>220</v>
      </c>
      <c r="D79" s="103">
        <v>3888</v>
      </c>
      <c r="E79" s="131">
        <v>481</v>
      </c>
      <c r="F79" s="133">
        <f t="shared" si="3"/>
        <v>4369</v>
      </c>
      <c r="G79" s="132">
        <v>3300</v>
      </c>
    </row>
    <row r="80" spans="1:7" x14ac:dyDescent="0.25">
      <c r="A80" s="759">
        <v>73</v>
      </c>
      <c r="B80" s="48" t="s">
        <v>44</v>
      </c>
      <c r="C80" s="111" t="s">
        <v>221</v>
      </c>
      <c r="D80" s="103">
        <v>931</v>
      </c>
      <c r="E80" s="131"/>
      <c r="F80" s="133">
        <f t="shared" si="3"/>
        <v>931</v>
      </c>
      <c r="G80" s="132">
        <v>4950</v>
      </c>
    </row>
    <row r="81" spans="1:7" x14ac:dyDescent="0.25">
      <c r="A81" s="759">
        <v>74</v>
      </c>
      <c r="B81" s="48" t="s">
        <v>54</v>
      </c>
      <c r="C81" s="111" t="s">
        <v>222</v>
      </c>
      <c r="D81" s="103">
        <v>6458</v>
      </c>
      <c r="E81" s="131">
        <v>676</v>
      </c>
      <c r="F81" s="133">
        <f t="shared" si="3"/>
        <v>7134</v>
      </c>
      <c r="G81" s="132">
        <v>4950</v>
      </c>
    </row>
    <row r="82" spans="1:7" x14ac:dyDescent="0.25">
      <c r="A82" s="759">
        <v>75</v>
      </c>
      <c r="B82" s="48" t="s">
        <v>36</v>
      </c>
      <c r="C82" s="111" t="s">
        <v>37</v>
      </c>
      <c r="D82" s="103"/>
      <c r="E82" s="131">
        <v>622</v>
      </c>
      <c r="F82" s="133">
        <f t="shared" si="3"/>
        <v>622</v>
      </c>
      <c r="G82" s="132">
        <f>3300+620</f>
        <v>3920</v>
      </c>
    </row>
    <row r="83" spans="1:7" x14ac:dyDescent="0.25">
      <c r="A83" s="759">
        <v>76</v>
      </c>
      <c r="B83" s="48" t="s">
        <v>48</v>
      </c>
      <c r="C83" s="111" t="s">
        <v>223</v>
      </c>
      <c r="D83" s="103">
        <v>5211</v>
      </c>
      <c r="E83" s="131"/>
      <c r="F83" s="133">
        <f t="shared" si="3"/>
        <v>5211</v>
      </c>
      <c r="G83" s="132">
        <v>5280</v>
      </c>
    </row>
    <row r="84" spans="1:7" x14ac:dyDescent="0.25">
      <c r="A84" s="759">
        <v>77</v>
      </c>
      <c r="B84" s="48" t="s">
        <v>224</v>
      </c>
      <c r="C84" s="112" t="s">
        <v>225</v>
      </c>
      <c r="D84" s="103"/>
      <c r="E84" s="131"/>
      <c r="F84" s="133"/>
      <c r="G84" s="132"/>
    </row>
    <row r="85" spans="1:7" x14ac:dyDescent="0.25">
      <c r="A85" s="759">
        <v>78</v>
      </c>
      <c r="B85" s="52" t="s">
        <v>226</v>
      </c>
      <c r="C85" s="112" t="s">
        <v>227</v>
      </c>
      <c r="D85" s="103"/>
      <c r="E85" s="131"/>
      <c r="F85" s="133"/>
      <c r="G85" s="132"/>
    </row>
    <row r="86" spans="1:7" ht="25.5" x14ac:dyDescent="0.25">
      <c r="A86" s="1232">
        <v>79</v>
      </c>
      <c r="B86" s="1216" t="s">
        <v>228</v>
      </c>
      <c r="C86" s="707" t="s">
        <v>229</v>
      </c>
      <c r="D86" s="103"/>
      <c r="E86" s="131"/>
      <c r="F86" s="133"/>
      <c r="G86" s="132"/>
    </row>
    <row r="87" spans="1:7" ht="38.25" x14ac:dyDescent="0.25">
      <c r="A87" s="1232"/>
      <c r="B87" s="1217"/>
      <c r="C87" s="112" t="s">
        <v>230</v>
      </c>
      <c r="D87" s="103"/>
      <c r="E87" s="131"/>
      <c r="F87" s="133"/>
      <c r="G87" s="132"/>
    </row>
    <row r="88" spans="1:7" ht="25.5" x14ac:dyDescent="0.25">
      <c r="A88" s="1232"/>
      <c r="B88" s="1217"/>
      <c r="C88" s="112" t="s">
        <v>231</v>
      </c>
      <c r="D88" s="103"/>
      <c r="E88" s="131"/>
      <c r="F88" s="133"/>
      <c r="G88" s="132"/>
    </row>
    <row r="89" spans="1:7" ht="38.25" customHeight="1" x14ac:dyDescent="0.25">
      <c r="A89" s="1232"/>
      <c r="B89" s="1218"/>
      <c r="C89" s="708" t="s">
        <v>232</v>
      </c>
      <c r="D89" s="103"/>
      <c r="E89" s="131"/>
      <c r="F89" s="133"/>
      <c r="G89" s="132"/>
    </row>
    <row r="90" spans="1:7" ht="25.5" x14ac:dyDescent="0.25">
      <c r="A90" s="759">
        <v>80</v>
      </c>
      <c r="B90" s="58" t="s">
        <v>233</v>
      </c>
      <c r="C90" s="111" t="s">
        <v>234</v>
      </c>
      <c r="D90" s="103"/>
      <c r="E90" s="131"/>
      <c r="F90" s="133"/>
      <c r="G90" s="132"/>
    </row>
    <row r="91" spans="1:7" x14ac:dyDescent="0.25">
      <c r="A91" s="759">
        <v>81</v>
      </c>
      <c r="B91" s="48" t="s">
        <v>235</v>
      </c>
      <c r="C91" s="111" t="s">
        <v>236</v>
      </c>
      <c r="D91" s="103"/>
      <c r="E91" s="131"/>
      <c r="F91" s="133"/>
      <c r="G91" s="132"/>
    </row>
    <row r="92" spans="1:7" x14ac:dyDescent="0.25">
      <c r="A92" s="759">
        <v>82</v>
      </c>
      <c r="B92" s="58" t="s">
        <v>74</v>
      </c>
      <c r="C92" s="111" t="s">
        <v>237</v>
      </c>
      <c r="D92" s="103"/>
      <c r="E92" s="131"/>
      <c r="F92" s="133"/>
      <c r="G92" s="132"/>
    </row>
    <row r="93" spans="1:7" x14ac:dyDescent="0.25">
      <c r="A93" s="759">
        <v>83</v>
      </c>
      <c r="B93" s="48" t="s">
        <v>38</v>
      </c>
      <c r="C93" s="111" t="s">
        <v>39</v>
      </c>
      <c r="D93" s="103"/>
      <c r="E93" s="131"/>
      <c r="F93" s="133"/>
      <c r="G93" s="132">
        <v>3300</v>
      </c>
    </row>
    <row r="94" spans="1:7" x14ac:dyDescent="0.25">
      <c r="A94" s="759">
        <v>84</v>
      </c>
      <c r="B94" s="48" t="s">
        <v>40</v>
      </c>
      <c r="C94" s="111" t="s">
        <v>41</v>
      </c>
      <c r="D94" s="103"/>
      <c r="E94" s="131"/>
      <c r="F94" s="133"/>
      <c r="G94" s="132">
        <v>3300</v>
      </c>
    </row>
    <row r="95" spans="1:7" x14ac:dyDescent="0.25">
      <c r="A95" s="759">
        <v>85</v>
      </c>
      <c r="B95" s="48" t="s">
        <v>238</v>
      </c>
      <c r="C95" s="111" t="s">
        <v>239</v>
      </c>
      <c r="D95" s="103">
        <v>1766</v>
      </c>
      <c r="E95" s="131">
        <v>214</v>
      </c>
      <c r="F95" s="133">
        <f>D95+E95</f>
        <v>1980</v>
      </c>
      <c r="G95" s="132">
        <v>3300</v>
      </c>
    </row>
    <row r="96" spans="1:7" x14ac:dyDescent="0.25">
      <c r="A96" s="759">
        <v>86</v>
      </c>
      <c r="B96" s="48" t="s">
        <v>240</v>
      </c>
      <c r="C96" s="111" t="s">
        <v>241</v>
      </c>
      <c r="D96" s="103">
        <v>773</v>
      </c>
      <c r="E96" s="131">
        <v>121</v>
      </c>
      <c r="F96" s="133">
        <f>D96+E96</f>
        <v>894</v>
      </c>
      <c r="G96" s="132">
        <v>1650</v>
      </c>
    </row>
    <row r="97" spans="1:7" x14ac:dyDescent="0.25">
      <c r="A97" s="759">
        <v>87</v>
      </c>
      <c r="B97" s="48" t="s">
        <v>88</v>
      </c>
      <c r="C97" s="111" t="s">
        <v>89</v>
      </c>
      <c r="D97" s="103">
        <v>1000</v>
      </c>
      <c r="E97" s="131"/>
      <c r="F97" s="133">
        <f>D97+E97</f>
        <v>1000</v>
      </c>
      <c r="G97" s="132">
        <v>3300</v>
      </c>
    </row>
    <row r="98" spans="1:7" x14ac:dyDescent="0.25">
      <c r="A98" s="759">
        <v>88</v>
      </c>
      <c r="B98" s="48" t="s">
        <v>242</v>
      </c>
      <c r="C98" s="111" t="s">
        <v>243</v>
      </c>
      <c r="D98" s="103">
        <v>2003</v>
      </c>
      <c r="E98" s="131">
        <v>286</v>
      </c>
      <c r="F98" s="133">
        <f>D98+E98</f>
        <v>2289</v>
      </c>
      <c r="G98" s="132">
        <v>3300</v>
      </c>
    </row>
    <row r="99" spans="1:7" x14ac:dyDescent="0.25">
      <c r="A99" s="759">
        <v>89</v>
      </c>
      <c r="B99" s="48" t="s">
        <v>244</v>
      </c>
      <c r="C99" s="111" t="s">
        <v>245</v>
      </c>
      <c r="D99" s="103">
        <v>3510</v>
      </c>
      <c r="E99" s="131">
        <v>350</v>
      </c>
      <c r="F99" s="133">
        <f>D99+E99</f>
        <v>3860</v>
      </c>
      <c r="G99" s="132">
        <v>3300</v>
      </c>
    </row>
    <row r="100" spans="1:7" x14ac:dyDescent="0.25">
      <c r="A100" s="759">
        <v>90</v>
      </c>
      <c r="B100" s="58" t="s">
        <v>246</v>
      </c>
      <c r="C100" s="111" t="s">
        <v>247</v>
      </c>
      <c r="D100" s="103"/>
      <c r="E100" s="131"/>
      <c r="F100" s="133"/>
      <c r="G100" s="132">
        <v>1650</v>
      </c>
    </row>
    <row r="101" spans="1:7" x14ac:dyDescent="0.25">
      <c r="A101" s="759">
        <v>91</v>
      </c>
      <c r="B101" s="48" t="s">
        <v>248</v>
      </c>
      <c r="C101" s="111" t="s">
        <v>249</v>
      </c>
      <c r="D101" s="103">
        <v>922</v>
      </c>
      <c r="E101" s="131"/>
      <c r="F101" s="133">
        <f>D101+E101</f>
        <v>922</v>
      </c>
      <c r="G101" s="132">
        <v>3300</v>
      </c>
    </row>
    <row r="102" spans="1:7" x14ac:dyDescent="0.25">
      <c r="A102" s="759">
        <v>92</v>
      </c>
      <c r="B102" s="48" t="s">
        <v>250</v>
      </c>
      <c r="C102" s="111" t="s">
        <v>251</v>
      </c>
      <c r="D102" s="103"/>
      <c r="E102" s="131"/>
      <c r="F102" s="133"/>
      <c r="G102" s="132">
        <v>3300</v>
      </c>
    </row>
    <row r="103" spans="1:7" x14ac:dyDescent="0.25">
      <c r="A103" s="759">
        <v>93</v>
      </c>
      <c r="B103" s="58" t="s">
        <v>32</v>
      </c>
      <c r="C103" s="111" t="s">
        <v>33</v>
      </c>
      <c r="D103" s="103">
        <v>3081</v>
      </c>
      <c r="E103" s="131">
        <v>504</v>
      </c>
      <c r="F103" s="133">
        <f>D103+E103</f>
        <v>3585</v>
      </c>
      <c r="G103" s="132">
        <v>3630</v>
      </c>
    </row>
    <row r="104" spans="1:7" x14ac:dyDescent="0.25">
      <c r="A104" s="759">
        <v>94</v>
      </c>
      <c r="B104" s="48" t="s">
        <v>252</v>
      </c>
      <c r="C104" s="111" t="s">
        <v>253</v>
      </c>
      <c r="D104" s="103">
        <v>687</v>
      </c>
      <c r="E104" s="131"/>
      <c r="F104" s="133">
        <f>D104+E104</f>
        <v>687</v>
      </c>
      <c r="G104" s="132">
        <v>3300</v>
      </c>
    </row>
    <row r="105" spans="1:7" x14ac:dyDescent="0.25">
      <c r="A105" s="759">
        <v>95</v>
      </c>
      <c r="B105" s="58" t="s">
        <v>254</v>
      </c>
      <c r="C105" s="111" t="s">
        <v>255</v>
      </c>
      <c r="D105" s="103">
        <v>1016</v>
      </c>
      <c r="E105" s="131">
        <v>369</v>
      </c>
      <c r="F105" s="133">
        <f>D105+E105</f>
        <v>1385</v>
      </c>
      <c r="G105" s="132">
        <v>3300</v>
      </c>
    </row>
    <row r="106" spans="1:7" x14ac:dyDescent="0.25">
      <c r="A106" s="759">
        <v>96</v>
      </c>
      <c r="B106" s="58" t="s">
        <v>256</v>
      </c>
      <c r="C106" s="111" t="s">
        <v>257</v>
      </c>
      <c r="D106" s="103">
        <v>2534</v>
      </c>
      <c r="E106" s="131">
        <v>389</v>
      </c>
      <c r="F106" s="133">
        <f>D106+E106</f>
        <v>2923</v>
      </c>
      <c r="G106" s="132">
        <v>3300</v>
      </c>
    </row>
    <row r="107" spans="1:7" x14ac:dyDescent="0.25">
      <c r="A107" s="759">
        <v>97</v>
      </c>
      <c r="B107" s="48" t="s">
        <v>76</v>
      </c>
      <c r="C107" s="111" t="s">
        <v>77</v>
      </c>
      <c r="D107" s="103"/>
      <c r="E107" s="131"/>
      <c r="F107" s="133"/>
      <c r="G107" s="132">
        <v>3300</v>
      </c>
    </row>
    <row r="108" spans="1:7" x14ac:dyDescent="0.25">
      <c r="A108" s="759">
        <v>98</v>
      </c>
      <c r="B108" s="48" t="s">
        <v>258</v>
      </c>
      <c r="C108" s="111" t="s">
        <v>259</v>
      </c>
      <c r="D108" s="103"/>
      <c r="E108" s="131"/>
      <c r="F108" s="133"/>
      <c r="G108" s="132"/>
    </row>
    <row r="109" spans="1:7" x14ac:dyDescent="0.25">
      <c r="A109" s="759">
        <v>99</v>
      </c>
      <c r="B109" s="48" t="s">
        <v>260</v>
      </c>
      <c r="C109" s="111" t="s">
        <v>261</v>
      </c>
      <c r="D109" s="103"/>
      <c r="E109" s="131"/>
      <c r="F109" s="133"/>
      <c r="G109" s="132"/>
    </row>
    <row r="110" spans="1:7" x14ac:dyDescent="0.25">
      <c r="A110" s="759">
        <v>100</v>
      </c>
      <c r="B110" s="58" t="s">
        <v>264</v>
      </c>
      <c r="C110" s="111" t="s">
        <v>265</v>
      </c>
      <c r="D110" s="103"/>
      <c r="E110" s="131"/>
      <c r="F110" s="133"/>
      <c r="G110" s="132"/>
    </row>
    <row r="111" spans="1:7" x14ac:dyDescent="0.25">
      <c r="A111" s="759">
        <v>101</v>
      </c>
      <c r="B111" s="48" t="s">
        <v>266</v>
      </c>
      <c r="C111" s="111" t="s">
        <v>267</v>
      </c>
      <c r="D111" s="103"/>
      <c r="E111" s="131"/>
      <c r="F111" s="133"/>
      <c r="G111" s="132"/>
    </row>
    <row r="112" spans="1:7" x14ac:dyDescent="0.25">
      <c r="A112" s="759">
        <v>102</v>
      </c>
      <c r="B112" s="48" t="s">
        <v>268</v>
      </c>
      <c r="C112" s="111" t="s">
        <v>269</v>
      </c>
      <c r="D112" s="103"/>
      <c r="E112" s="131"/>
      <c r="F112" s="133"/>
      <c r="G112" s="132"/>
    </row>
    <row r="113" spans="1:7" x14ac:dyDescent="0.25">
      <c r="A113" s="759">
        <v>103</v>
      </c>
      <c r="B113" s="48" t="s">
        <v>270</v>
      </c>
      <c r="C113" s="111" t="s">
        <v>271</v>
      </c>
      <c r="D113" s="103"/>
      <c r="E113" s="131"/>
      <c r="F113" s="133"/>
      <c r="G113" s="132"/>
    </row>
    <row r="114" spans="1:7" x14ac:dyDescent="0.25">
      <c r="A114" s="759">
        <v>104</v>
      </c>
      <c r="B114" s="58" t="s">
        <v>272</v>
      </c>
      <c r="C114" s="111" t="s">
        <v>273</v>
      </c>
      <c r="D114" s="103"/>
      <c r="E114" s="131"/>
      <c r="F114" s="133"/>
      <c r="G114" s="132"/>
    </row>
    <row r="115" spans="1:7" ht="12" customHeight="1" x14ac:dyDescent="0.25">
      <c r="A115" s="759">
        <v>105</v>
      </c>
      <c r="B115" s="58" t="s">
        <v>274</v>
      </c>
      <c r="C115" s="111" t="s">
        <v>275</v>
      </c>
      <c r="D115" s="103"/>
      <c r="E115" s="131"/>
      <c r="F115" s="133"/>
      <c r="G115" s="132"/>
    </row>
    <row r="116" spans="1:7" x14ac:dyDescent="0.25">
      <c r="A116" s="759">
        <v>106</v>
      </c>
      <c r="B116" s="48" t="s">
        <v>276</v>
      </c>
      <c r="C116" s="111" t="s">
        <v>277</v>
      </c>
      <c r="D116" s="103"/>
      <c r="E116" s="131"/>
      <c r="F116" s="133"/>
      <c r="G116" s="132"/>
    </row>
    <row r="117" spans="1:7" x14ac:dyDescent="0.25">
      <c r="A117" s="759">
        <v>107</v>
      </c>
      <c r="B117" s="48" t="s">
        <v>278</v>
      </c>
      <c r="C117" s="111" t="s">
        <v>279</v>
      </c>
      <c r="D117" s="103"/>
      <c r="E117" s="131"/>
      <c r="F117" s="133"/>
      <c r="G117" s="132"/>
    </row>
    <row r="118" spans="1:7" x14ac:dyDescent="0.25">
      <c r="A118" s="759">
        <v>108</v>
      </c>
      <c r="B118" s="48" t="s">
        <v>280</v>
      </c>
      <c r="C118" s="111" t="s">
        <v>281</v>
      </c>
      <c r="D118" s="103"/>
      <c r="E118" s="131"/>
      <c r="F118" s="133"/>
      <c r="G118" s="132"/>
    </row>
    <row r="119" spans="1:7" x14ac:dyDescent="0.25">
      <c r="A119" s="759">
        <v>109</v>
      </c>
      <c r="B119" s="758" t="s">
        <v>282</v>
      </c>
      <c r="C119" s="112" t="s">
        <v>283</v>
      </c>
      <c r="D119" s="103"/>
      <c r="E119" s="131"/>
      <c r="F119" s="133"/>
      <c r="G119" s="132"/>
    </row>
    <row r="120" spans="1:7" x14ac:dyDescent="0.25">
      <c r="A120" s="759">
        <v>110</v>
      </c>
      <c r="B120" s="58" t="s">
        <v>284</v>
      </c>
      <c r="C120" s="111" t="s">
        <v>285</v>
      </c>
      <c r="D120" s="103"/>
      <c r="E120" s="131"/>
      <c r="F120" s="133"/>
      <c r="G120" s="132"/>
    </row>
    <row r="121" spans="1:7" x14ac:dyDescent="0.25">
      <c r="A121" s="759">
        <v>111</v>
      </c>
      <c r="B121" s="224" t="s">
        <v>780</v>
      </c>
      <c r="C121" s="220" t="s">
        <v>737</v>
      </c>
      <c r="D121" s="103"/>
      <c r="E121" s="131"/>
      <c r="F121" s="133"/>
      <c r="G121" s="132"/>
    </row>
    <row r="122" spans="1:7" ht="17.25" customHeight="1" x14ac:dyDescent="0.25">
      <c r="A122" s="759">
        <v>112</v>
      </c>
      <c r="B122" s="58" t="s">
        <v>286</v>
      </c>
      <c r="C122" s="111" t="s">
        <v>287</v>
      </c>
      <c r="D122" s="103"/>
      <c r="E122" s="131"/>
      <c r="F122" s="133"/>
      <c r="G122" s="132"/>
    </row>
    <row r="123" spans="1:7" x14ac:dyDescent="0.25">
      <c r="A123" s="759">
        <v>113</v>
      </c>
      <c r="B123" s="131" t="s">
        <v>288</v>
      </c>
      <c r="C123" s="167" t="s">
        <v>738</v>
      </c>
      <c r="D123" s="103"/>
      <c r="E123" s="131"/>
      <c r="F123" s="133"/>
      <c r="G123" s="132"/>
    </row>
    <row r="124" spans="1:7" x14ac:dyDescent="0.25">
      <c r="A124" s="759">
        <v>114</v>
      </c>
      <c r="B124" s="48" t="s">
        <v>290</v>
      </c>
      <c r="C124" s="111" t="s">
        <v>291</v>
      </c>
      <c r="D124" s="103"/>
      <c r="E124" s="131"/>
      <c r="F124" s="133"/>
      <c r="G124" s="132"/>
    </row>
    <row r="125" spans="1:7" ht="25.5" x14ac:dyDescent="0.25">
      <c r="A125" s="759">
        <v>115</v>
      </c>
      <c r="B125" s="58" t="s">
        <v>292</v>
      </c>
      <c r="C125" s="111" t="s">
        <v>293</v>
      </c>
      <c r="D125" s="103"/>
      <c r="E125" s="131"/>
      <c r="F125" s="133"/>
      <c r="G125" s="132"/>
    </row>
    <row r="126" spans="1:7" x14ac:dyDescent="0.25">
      <c r="A126" s="759">
        <v>116</v>
      </c>
      <c r="B126" s="48" t="s">
        <v>294</v>
      </c>
      <c r="C126" s="111" t="s">
        <v>295</v>
      </c>
      <c r="D126" s="103"/>
      <c r="E126" s="131"/>
      <c r="F126" s="133"/>
      <c r="G126" s="132"/>
    </row>
    <row r="127" spans="1:7" x14ac:dyDescent="0.25">
      <c r="A127" s="759">
        <v>117</v>
      </c>
      <c r="B127" s="58" t="s">
        <v>70</v>
      </c>
      <c r="C127" s="111" t="s">
        <v>296</v>
      </c>
      <c r="D127" s="103">
        <v>2833</v>
      </c>
      <c r="E127" s="131">
        <v>841</v>
      </c>
      <c r="F127" s="133">
        <f>D127+E127</f>
        <v>3674</v>
      </c>
      <c r="G127" s="132">
        <v>13200</v>
      </c>
    </row>
    <row r="128" spans="1:7" x14ac:dyDescent="0.25">
      <c r="A128" s="759">
        <v>118</v>
      </c>
      <c r="B128" s="58" t="s">
        <v>72</v>
      </c>
      <c r="C128" s="111" t="s">
        <v>73</v>
      </c>
      <c r="D128" s="103"/>
      <c r="E128" s="131"/>
      <c r="F128" s="133"/>
      <c r="G128" s="132"/>
    </row>
    <row r="129" spans="1:7" x14ac:dyDescent="0.25">
      <c r="A129" s="759">
        <v>119</v>
      </c>
      <c r="B129" s="48" t="s">
        <v>34</v>
      </c>
      <c r="C129" s="111" t="s">
        <v>35</v>
      </c>
      <c r="D129" s="103"/>
      <c r="E129" s="131">
        <v>95</v>
      </c>
      <c r="F129" s="133">
        <f>D129+E129</f>
        <v>95</v>
      </c>
      <c r="G129" s="132">
        <f>990-930</f>
        <v>60</v>
      </c>
    </row>
    <row r="130" spans="1:7" x14ac:dyDescent="0.25">
      <c r="A130" s="759">
        <v>120</v>
      </c>
      <c r="B130" s="58" t="s">
        <v>297</v>
      </c>
      <c r="C130" s="111" t="s">
        <v>298</v>
      </c>
      <c r="D130" s="103"/>
      <c r="E130" s="131"/>
      <c r="F130" s="133"/>
      <c r="G130" s="132"/>
    </row>
    <row r="131" spans="1:7" x14ac:dyDescent="0.25">
      <c r="A131" s="759">
        <v>121</v>
      </c>
      <c r="B131" s="48" t="s">
        <v>299</v>
      </c>
      <c r="C131" s="111" t="s">
        <v>300</v>
      </c>
      <c r="D131" s="103"/>
      <c r="E131" s="131"/>
      <c r="F131" s="133"/>
      <c r="G131" s="132"/>
    </row>
    <row r="132" spans="1:7" x14ac:dyDescent="0.25">
      <c r="A132" s="759">
        <v>122</v>
      </c>
      <c r="B132" s="48" t="s">
        <v>301</v>
      </c>
      <c r="C132" s="111" t="s">
        <v>302</v>
      </c>
      <c r="D132" s="103"/>
      <c r="E132" s="131"/>
      <c r="F132" s="133"/>
      <c r="G132" s="132"/>
    </row>
    <row r="133" spans="1:7" x14ac:dyDescent="0.25">
      <c r="A133" s="759">
        <v>123</v>
      </c>
      <c r="B133" s="58" t="s">
        <v>16</v>
      </c>
      <c r="C133" s="111" t="s">
        <v>17</v>
      </c>
      <c r="D133" s="103"/>
      <c r="E133" s="131"/>
      <c r="F133" s="133"/>
      <c r="G133" s="132"/>
    </row>
    <row r="134" spans="1:7" x14ac:dyDescent="0.25">
      <c r="A134" s="759">
        <v>124</v>
      </c>
      <c r="B134" s="58" t="s">
        <v>68</v>
      </c>
      <c r="C134" s="111" t="s">
        <v>69</v>
      </c>
      <c r="D134" s="103">
        <v>2671</v>
      </c>
      <c r="E134" s="131"/>
      <c r="F134" s="133">
        <f>D134+E134</f>
        <v>2671</v>
      </c>
      <c r="G134" s="132">
        <v>23100</v>
      </c>
    </row>
    <row r="135" spans="1:7" x14ac:dyDescent="0.25">
      <c r="A135" s="759">
        <v>125</v>
      </c>
      <c r="B135" s="58" t="s">
        <v>60</v>
      </c>
      <c r="C135" s="111" t="s">
        <v>303</v>
      </c>
      <c r="D135" s="103">
        <v>2730</v>
      </c>
      <c r="E135" s="131"/>
      <c r="F135" s="133">
        <f>D135+E135</f>
        <v>2730</v>
      </c>
      <c r="G135" s="132"/>
    </row>
    <row r="136" spans="1:7" x14ac:dyDescent="0.25">
      <c r="A136" s="759">
        <v>126</v>
      </c>
      <c r="B136" s="58" t="s">
        <v>56</v>
      </c>
      <c r="C136" s="111" t="s">
        <v>304</v>
      </c>
      <c r="D136" s="103">
        <v>4239</v>
      </c>
      <c r="E136" s="131">
        <v>472</v>
      </c>
      <c r="F136" s="133">
        <f>D136+E136</f>
        <v>4711</v>
      </c>
      <c r="G136" s="132"/>
    </row>
    <row r="137" spans="1:7" x14ac:dyDescent="0.25">
      <c r="A137" s="759">
        <v>127</v>
      </c>
      <c r="B137" s="58" t="s">
        <v>305</v>
      </c>
      <c r="C137" s="111" t="s">
        <v>306</v>
      </c>
      <c r="D137" s="103"/>
      <c r="E137" s="131"/>
      <c r="F137" s="133"/>
      <c r="G137" s="132"/>
    </row>
    <row r="138" spans="1:7" x14ac:dyDescent="0.25">
      <c r="A138" s="759">
        <v>128</v>
      </c>
      <c r="B138" s="48" t="s">
        <v>307</v>
      </c>
      <c r="C138" s="111" t="s">
        <v>308</v>
      </c>
      <c r="D138" s="103"/>
      <c r="E138" s="131"/>
      <c r="F138" s="133"/>
      <c r="G138" s="132"/>
    </row>
    <row r="139" spans="1:7" x14ac:dyDescent="0.25">
      <c r="A139" s="759">
        <v>129</v>
      </c>
      <c r="B139" s="61" t="s">
        <v>309</v>
      </c>
      <c r="C139" s="174" t="s">
        <v>310</v>
      </c>
      <c r="D139" s="169"/>
      <c r="E139" s="135"/>
      <c r="F139" s="133"/>
      <c r="G139" s="132"/>
    </row>
    <row r="140" spans="1:7" x14ac:dyDescent="0.25">
      <c r="A140" s="759">
        <v>130</v>
      </c>
      <c r="B140" s="58" t="s">
        <v>311</v>
      </c>
      <c r="C140" s="709" t="s">
        <v>312</v>
      </c>
      <c r="D140" s="169"/>
      <c r="E140" s="135"/>
      <c r="F140" s="133"/>
      <c r="G140" s="710"/>
    </row>
    <row r="141" spans="1:7" x14ac:dyDescent="0.25">
      <c r="A141" s="759">
        <v>131</v>
      </c>
      <c r="B141" s="59" t="s">
        <v>313</v>
      </c>
      <c r="C141" s="113" t="s">
        <v>314</v>
      </c>
      <c r="D141" s="169"/>
      <c r="E141" s="135"/>
      <c r="F141" s="133"/>
      <c r="G141" s="132"/>
    </row>
    <row r="142" spans="1:7" x14ac:dyDescent="0.25">
      <c r="A142" s="759">
        <v>132</v>
      </c>
      <c r="B142" s="61" t="s">
        <v>315</v>
      </c>
      <c r="C142" s="695" t="s">
        <v>316</v>
      </c>
      <c r="D142" s="169"/>
      <c r="E142" s="135"/>
      <c r="F142" s="133"/>
      <c r="G142" s="132">
        <v>1980</v>
      </c>
    </row>
    <row r="143" spans="1:7" x14ac:dyDescent="0.25">
      <c r="A143" s="759">
        <v>133</v>
      </c>
      <c r="B143" s="63" t="s">
        <v>317</v>
      </c>
      <c r="C143" s="696" t="s">
        <v>318</v>
      </c>
      <c r="D143" s="103"/>
      <c r="E143" s="131"/>
      <c r="F143" s="133"/>
      <c r="G143" s="132"/>
    </row>
    <row r="144" spans="1:7" x14ac:dyDescent="0.25">
      <c r="A144" s="759">
        <v>134</v>
      </c>
      <c r="B144" s="65" t="s">
        <v>319</v>
      </c>
      <c r="C144" s="696" t="s">
        <v>320</v>
      </c>
      <c r="D144" s="103"/>
      <c r="E144" s="131">
        <v>3200</v>
      </c>
      <c r="F144" s="136">
        <f>D144+E144</f>
        <v>3200</v>
      </c>
      <c r="G144" s="710">
        <v>19800</v>
      </c>
    </row>
    <row r="145" spans="1:7" s="137" customFormat="1" ht="13.5" thickBot="1" x14ac:dyDescent="0.3">
      <c r="A145" s="761">
        <v>135</v>
      </c>
      <c r="B145" s="762" t="s">
        <v>728</v>
      </c>
      <c r="C145" s="763" t="s">
        <v>729</v>
      </c>
      <c r="D145" s="711"/>
      <c r="E145" s="712"/>
      <c r="F145" s="713"/>
      <c r="G145" s="714"/>
    </row>
    <row r="146" spans="1:7" s="137" customFormat="1" x14ac:dyDescent="0.25">
      <c r="C146" s="138"/>
      <c r="D146" s="760"/>
      <c r="E146" s="760"/>
      <c r="F146" s="760"/>
      <c r="G146" s="760"/>
    </row>
    <row r="147" spans="1:7" s="137" customFormat="1" x14ac:dyDescent="0.25">
      <c r="C147" s="138"/>
    </row>
    <row r="149" spans="1:7" x14ac:dyDescent="0.25">
      <c r="D149" s="139"/>
      <c r="E149" s="139"/>
      <c r="F149" s="140"/>
    </row>
  </sheetData>
  <mergeCells count="10">
    <mergeCell ref="A86:A89"/>
    <mergeCell ref="B86:B89"/>
    <mergeCell ref="A6:C6"/>
    <mergeCell ref="A7:C7"/>
    <mergeCell ref="A1:G1"/>
    <mergeCell ref="A3:A4"/>
    <mergeCell ref="B3:B4"/>
    <mergeCell ref="C3:C4"/>
    <mergeCell ref="D3:F3"/>
    <mergeCell ref="A5:C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50"/>
  <sheetViews>
    <sheetView zoomScale="90" zoomScaleNormal="90" workbookViewId="0">
      <pane xSplit="3" ySplit="7" topLeftCell="D122" activePane="bottomRight" state="frozen"/>
      <selection pane="topRight" activeCell="D1" sqref="D1"/>
      <selection pane="bottomLeft" activeCell="A9" sqref="A9"/>
      <selection pane="bottomRight" activeCell="N162" sqref="N162"/>
    </sheetView>
  </sheetViews>
  <sheetFormatPr defaultRowHeight="12.75" x14ac:dyDescent="0.25"/>
  <cols>
    <col min="1" max="1" width="5.85546875" style="92" customWidth="1"/>
    <col min="2" max="2" width="9.28515625" style="92" bestFit="1" customWidth="1"/>
    <col min="3" max="3" width="36.140625" style="93" customWidth="1"/>
    <col min="4" max="4" width="16.140625" style="94" customWidth="1"/>
    <col min="5" max="5" width="16.28515625" style="94" customWidth="1"/>
    <col min="6" max="6" width="13" style="95" customWidth="1"/>
    <col min="7" max="7" width="11.28515625" style="92" customWidth="1"/>
    <col min="8" max="8" width="10.5703125" style="95" customWidth="1"/>
    <col min="9" max="9" width="11.140625" style="92" customWidth="1"/>
    <col min="10" max="16384" width="9.140625" style="92"/>
  </cols>
  <sheetData>
    <row r="1" spans="1:9" s="91" customFormat="1" ht="15.75" x14ac:dyDescent="0.25">
      <c r="A1" s="1219" t="s">
        <v>787</v>
      </c>
      <c r="B1" s="1247"/>
      <c r="C1" s="1247"/>
      <c r="D1" s="1247"/>
      <c r="E1" s="1247"/>
      <c r="F1" s="1247"/>
      <c r="G1" s="1248"/>
      <c r="H1" s="1248"/>
      <c r="I1" s="1248"/>
    </row>
    <row r="2" spans="1:9" ht="13.5" thickBot="1" x14ac:dyDescent="0.3"/>
    <row r="3" spans="1:9" s="96" customFormat="1" ht="26.25" customHeight="1" x14ac:dyDescent="0.25">
      <c r="A3" s="1221" t="s">
        <v>0</v>
      </c>
      <c r="B3" s="1223" t="s">
        <v>337</v>
      </c>
      <c r="C3" s="1251" t="s">
        <v>93</v>
      </c>
      <c r="D3" s="1253" t="s">
        <v>338</v>
      </c>
      <c r="E3" s="1254"/>
      <c r="F3" s="1253" t="s">
        <v>339</v>
      </c>
      <c r="G3" s="1255"/>
      <c r="H3" s="1256" t="s">
        <v>340</v>
      </c>
      <c r="I3" s="1255"/>
    </row>
    <row r="4" spans="1:9" s="96" customFormat="1" ht="40.5" customHeight="1" thickBot="1" x14ac:dyDescent="0.3">
      <c r="A4" s="1249"/>
      <c r="B4" s="1250"/>
      <c r="C4" s="1252"/>
      <c r="D4" s="97" t="s">
        <v>341</v>
      </c>
      <c r="E4" s="146" t="s">
        <v>342</v>
      </c>
      <c r="F4" s="97" t="s">
        <v>343</v>
      </c>
      <c r="G4" s="98" t="s">
        <v>328</v>
      </c>
      <c r="H4" s="99" t="s">
        <v>329</v>
      </c>
      <c r="I4" s="98" t="s">
        <v>330</v>
      </c>
    </row>
    <row r="5" spans="1:9" x14ac:dyDescent="0.25">
      <c r="A5" s="1243" t="s">
        <v>331</v>
      </c>
      <c r="B5" s="1244"/>
      <c r="C5" s="1245"/>
      <c r="D5" s="100">
        <f t="shared" ref="D5:I5" si="0">SUM(D6:D7)</f>
        <v>428173</v>
      </c>
      <c r="E5" s="133">
        <f t="shared" si="0"/>
        <v>94934</v>
      </c>
      <c r="F5" s="163">
        <f t="shared" si="0"/>
        <v>19467</v>
      </c>
      <c r="G5" s="102">
        <f t="shared" si="0"/>
        <v>266751</v>
      </c>
      <c r="H5" s="101">
        <f t="shared" si="0"/>
        <v>1525</v>
      </c>
      <c r="I5" s="102">
        <f t="shared" si="0"/>
        <v>18290</v>
      </c>
    </row>
    <row r="6" spans="1:9" x14ac:dyDescent="0.25">
      <c r="A6" s="1211" t="s">
        <v>106</v>
      </c>
      <c r="B6" s="1212"/>
      <c r="C6" s="1214"/>
      <c r="D6" s="103"/>
      <c r="E6" s="165"/>
      <c r="F6" s="917"/>
      <c r="G6" s="106"/>
      <c r="H6" s="105"/>
      <c r="I6" s="106"/>
    </row>
    <row r="7" spans="1:9" x14ac:dyDescent="0.25">
      <c r="A7" s="1211" t="s">
        <v>108</v>
      </c>
      <c r="B7" s="1212"/>
      <c r="C7" s="1214"/>
      <c r="D7" s="107">
        <f t="shared" ref="D7:I7" si="1">SUM(D8:D144)-D86</f>
        <v>428173</v>
      </c>
      <c r="E7" s="136">
        <f t="shared" si="1"/>
        <v>94934</v>
      </c>
      <c r="F7" s="917">
        <f t="shared" si="1"/>
        <v>19467</v>
      </c>
      <c r="G7" s="36">
        <f t="shared" si="1"/>
        <v>266751</v>
      </c>
      <c r="H7" s="105">
        <f t="shared" si="1"/>
        <v>1525</v>
      </c>
      <c r="I7" s="36">
        <f t="shared" si="1"/>
        <v>18290</v>
      </c>
    </row>
    <row r="8" spans="1:9" x14ac:dyDescent="0.25">
      <c r="A8" s="910">
        <v>1</v>
      </c>
      <c r="B8" s="37" t="s">
        <v>109</v>
      </c>
      <c r="C8" s="111" t="s">
        <v>110</v>
      </c>
      <c r="D8" s="103">
        <v>1928</v>
      </c>
      <c r="E8" s="918">
        <v>430</v>
      </c>
      <c r="F8" s="164"/>
      <c r="G8" s="106"/>
      <c r="H8" s="110"/>
      <c r="I8" s="106"/>
    </row>
    <row r="9" spans="1:9" x14ac:dyDescent="0.25">
      <c r="A9" s="910">
        <v>2</v>
      </c>
      <c r="B9" s="37" t="s">
        <v>111</v>
      </c>
      <c r="C9" s="111" t="s">
        <v>112</v>
      </c>
      <c r="D9" s="103">
        <v>1969</v>
      </c>
      <c r="E9" s="918">
        <v>469</v>
      </c>
      <c r="F9" s="164"/>
      <c r="G9" s="106"/>
      <c r="H9" s="110"/>
      <c r="I9" s="106"/>
    </row>
    <row r="10" spans="1:9" x14ac:dyDescent="0.25">
      <c r="A10" s="910">
        <v>3</v>
      </c>
      <c r="B10" s="46" t="s">
        <v>80</v>
      </c>
      <c r="C10" s="111" t="s">
        <v>81</v>
      </c>
      <c r="D10" s="103">
        <v>6710</v>
      </c>
      <c r="E10" s="918">
        <v>2195</v>
      </c>
      <c r="F10" s="164">
        <v>323</v>
      </c>
      <c r="G10" s="106">
        <v>3878</v>
      </c>
      <c r="H10" s="110">
        <v>181</v>
      </c>
      <c r="I10" s="106">
        <v>2170</v>
      </c>
    </row>
    <row r="11" spans="1:9" x14ac:dyDescent="0.25">
      <c r="A11" s="910">
        <v>4</v>
      </c>
      <c r="B11" s="37" t="s">
        <v>113</v>
      </c>
      <c r="C11" s="111" t="s">
        <v>114</v>
      </c>
      <c r="D11" s="103">
        <v>2301</v>
      </c>
      <c r="E11" s="918">
        <f>673-200</f>
        <v>473</v>
      </c>
      <c r="F11" s="164"/>
      <c r="G11" s="106"/>
      <c r="H11" s="110"/>
      <c r="I11" s="106"/>
    </row>
    <row r="12" spans="1:9" ht="12" customHeight="1" x14ac:dyDescent="0.25">
      <c r="A12" s="910">
        <v>5</v>
      </c>
      <c r="B12" s="37" t="s">
        <v>115</v>
      </c>
      <c r="C12" s="111" t="s">
        <v>116</v>
      </c>
      <c r="D12" s="103">
        <v>2288</v>
      </c>
      <c r="E12" s="918">
        <f>667-40</f>
        <v>627</v>
      </c>
      <c r="F12" s="164"/>
      <c r="G12" s="106"/>
      <c r="H12" s="110"/>
      <c r="I12" s="106"/>
    </row>
    <row r="13" spans="1:9" x14ac:dyDescent="0.25">
      <c r="A13" s="910">
        <v>6</v>
      </c>
      <c r="B13" s="46" t="s">
        <v>117</v>
      </c>
      <c r="C13" s="111" t="s">
        <v>118</v>
      </c>
      <c r="D13" s="103">
        <v>19923</v>
      </c>
      <c r="E13" s="918">
        <v>1991</v>
      </c>
      <c r="F13" s="164">
        <v>923</v>
      </c>
      <c r="G13" s="106">
        <v>11080</v>
      </c>
      <c r="H13" s="110">
        <v>129</v>
      </c>
      <c r="I13" s="106">
        <v>1550</v>
      </c>
    </row>
    <row r="14" spans="1:9" x14ac:dyDescent="0.25">
      <c r="A14" s="910">
        <v>7</v>
      </c>
      <c r="B14" s="48" t="s">
        <v>20</v>
      </c>
      <c r="C14" s="111" t="s">
        <v>21</v>
      </c>
      <c r="D14" s="103">
        <v>6473</v>
      </c>
      <c r="E14" s="918">
        <v>460</v>
      </c>
      <c r="F14" s="164"/>
      <c r="G14" s="106"/>
      <c r="H14" s="110"/>
      <c r="I14" s="106"/>
    </row>
    <row r="15" spans="1:9" x14ac:dyDescent="0.25">
      <c r="A15" s="910">
        <v>8</v>
      </c>
      <c r="B15" s="46" t="s">
        <v>119</v>
      </c>
      <c r="C15" s="111" t="s">
        <v>120</v>
      </c>
      <c r="D15" s="103">
        <v>2337</v>
      </c>
      <c r="E15" s="918">
        <f>494-50</f>
        <v>444</v>
      </c>
      <c r="F15" s="164"/>
      <c r="G15" s="106"/>
      <c r="H15" s="110"/>
      <c r="I15" s="106"/>
    </row>
    <row r="16" spans="1:9" x14ac:dyDescent="0.25">
      <c r="A16" s="910">
        <v>9</v>
      </c>
      <c r="B16" s="46" t="s">
        <v>121</v>
      </c>
      <c r="C16" s="111" t="s">
        <v>122</v>
      </c>
      <c r="D16" s="103">
        <v>2558</v>
      </c>
      <c r="E16" s="918">
        <v>955</v>
      </c>
      <c r="F16" s="164">
        <v>324</v>
      </c>
      <c r="G16" s="106">
        <v>2493</v>
      </c>
      <c r="H16" s="110"/>
      <c r="I16" s="106"/>
    </row>
    <row r="17" spans="1:9" x14ac:dyDescent="0.25">
      <c r="A17" s="910">
        <v>10</v>
      </c>
      <c r="B17" s="46" t="s">
        <v>123</v>
      </c>
      <c r="C17" s="111" t="s">
        <v>124</v>
      </c>
      <c r="D17" s="103"/>
      <c r="E17" s="918"/>
      <c r="F17" s="164"/>
      <c r="G17" s="106"/>
      <c r="H17" s="110"/>
      <c r="I17" s="106"/>
    </row>
    <row r="18" spans="1:9" x14ac:dyDescent="0.25">
      <c r="A18" s="910">
        <v>11</v>
      </c>
      <c r="B18" s="46" t="s">
        <v>125</v>
      </c>
      <c r="C18" s="111" t="s">
        <v>126</v>
      </c>
      <c r="D18" s="103">
        <v>2298</v>
      </c>
      <c r="E18" s="918">
        <v>527</v>
      </c>
      <c r="F18" s="164"/>
      <c r="G18" s="106"/>
      <c r="H18" s="110"/>
      <c r="I18" s="106"/>
    </row>
    <row r="19" spans="1:9" x14ac:dyDescent="0.25">
      <c r="A19" s="910">
        <v>12</v>
      </c>
      <c r="B19" s="46" t="s">
        <v>127</v>
      </c>
      <c r="C19" s="111" t="s">
        <v>128</v>
      </c>
      <c r="D19" s="103">
        <v>4651</v>
      </c>
      <c r="E19" s="918">
        <f>769-50</f>
        <v>719</v>
      </c>
      <c r="F19" s="164"/>
      <c r="G19" s="106"/>
      <c r="H19" s="110"/>
      <c r="I19" s="106"/>
    </row>
    <row r="20" spans="1:9" ht="12" customHeight="1" x14ac:dyDescent="0.25">
      <c r="A20" s="910">
        <v>13</v>
      </c>
      <c r="B20" s="49" t="s">
        <v>129</v>
      </c>
      <c r="C20" s="112" t="s">
        <v>130</v>
      </c>
      <c r="D20" s="103"/>
      <c r="E20" s="918"/>
      <c r="F20" s="164"/>
      <c r="G20" s="106"/>
      <c r="H20" s="110"/>
      <c r="I20" s="106"/>
    </row>
    <row r="21" spans="1:9" x14ac:dyDescent="0.25">
      <c r="A21" s="910">
        <v>14</v>
      </c>
      <c r="B21" s="46" t="s">
        <v>131</v>
      </c>
      <c r="C21" s="111" t="s">
        <v>132</v>
      </c>
      <c r="D21" s="103">
        <v>3242</v>
      </c>
      <c r="E21" s="918">
        <f>387-40</f>
        <v>347</v>
      </c>
      <c r="F21" s="164"/>
      <c r="G21" s="106"/>
      <c r="H21" s="110"/>
      <c r="I21" s="106"/>
    </row>
    <row r="22" spans="1:9" x14ac:dyDescent="0.25">
      <c r="A22" s="910">
        <v>15</v>
      </c>
      <c r="B22" s="46" t="s">
        <v>133</v>
      </c>
      <c r="C22" s="111" t="s">
        <v>134</v>
      </c>
      <c r="D22" s="103">
        <v>4808</v>
      </c>
      <c r="E22" s="918">
        <f>1022-70</f>
        <v>952</v>
      </c>
      <c r="F22" s="164">
        <v>684</v>
      </c>
      <c r="G22" s="106">
        <v>5263</v>
      </c>
      <c r="H22" s="110"/>
      <c r="I22" s="106"/>
    </row>
    <row r="23" spans="1:9" x14ac:dyDescent="0.25">
      <c r="A23" s="910">
        <v>16</v>
      </c>
      <c r="B23" s="46" t="s">
        <v>135</v>
      </c>
      <c r="C23" s="111" t="s">
        <v>136</v>
      </c>
      <c r="D23" s="103">
        <v>5869</v>
      </c>
      <c r="E23" s="918">
        <v>527</v>
      </c>
      <c r="F23" s="164">
        <v>360</v>
      </c>
      <c r="G23" s="106">
        <v>2770</v>
      </c>
      <c r="H23" s="110"/>
      <c r="I23" s="106"/>
    </row>
    <row r="24" spans="1:9" x14ac:dyDescent="0.25">
      <c r="A24" s="910">
        <v>17</v>
      </c>
      <c r="B24" s="46" t="s">
        <v>30</v>
      </c>
      <c r="C24" s="111" t="s">
        <v>31</v>
      </c>
      <c r="D24" s="103">
        <v>10615</v>
      </c>
      <c r="E24" s="918">
        <v>4203</v>
      </c>
      <c r="F24" s="164">
        <v>577</v>
      </c>
      <c r="G24" s="106">
        <v>6925</v>
      </c>
      <c r="H24" s="110"/>
      <c r="I24" s="106"/>
    </row>
    <row r="25" spans="1:9" x14ac:dyDescent="0.25">
      <c r="A25" s="910">
        <v>18</v>
      </c>
      <c r="B25" s="37" t="s">
        <v>137</v>
      </c>
      <c r="C25" s="111" t="s">
        <v>138</v>
      </c>
      <c r="D25" s="103">
        <v>1875</v>
      </c>
      <c r="E25" s="918">
        <f>848-70</f>
        <v>778</v>
      </c>
      <c r="F25" s="164"/>
      <c r="G25" s="106"/>
      <c r="H25" s="110"/>
      <c r="I25" s="106"/>
    </row>
    <row r="26" spans="1:9" x14ac:dyDescent="0.25">
      <c r="A26" s="910">
        <v>19</v>
      </c>
      <c r="B26" s="37" t="s">
        <v>139</v>
      </c>
      <c r="C26" s="111" t="s">
        <v>140</v>
      </c>
      <c r="D26" s="103">
        <v>1579</v>
      </c>
      <c r="E26" s="918">
        <f>568-50</f>
        <v>518</v>
      </c>
      <c r="F26" s="164"/>
      <c r="G26" s="106"/>
      <c r="H26" s="110"/>
      <c r="I26" s="106"/>
    </row>
    <row r="27" spans="1:9" x14ac:dyDescent="0.25">
      <c r="A27" s="910">
        <v>20</v>
      </c>
      <c r="B27" s="37" t="s">
        <v>84</v>
      </c>
      <c r="C27" s="111" t="s">
        <v>85</v>
      </c>
      <c r="D27" s="103">
        <v>7505</v>
      </c>
      <c r="E27" s="918">
        <v>920</v>
      </c>
      <c r="F27" s="164">
        <v>462</v>
      </c>
      <c r="G27" s="106">
        <v>5540</v>
      </c>
      <c r="H27" s="110"/>
      <c r="I27" s="106"/>
    </row>
    <row r="28" spans="1:9" x14ac:dyDescent="0.25">
      <c r="A28" s="910">
        <v>21</v>
      </c>
      <c r="B28" s="37" t="s">
        <v>141</v>
      </c>
      <c r="C28" s="111" t="s">
        <v>142</v>
      </c>
      <c r="D28" s="103">
        <v>6175</v>
      </c>
      <c r="E28" s="918">
        <v>543</v>
      </c>
      <c r="F28" s="164">
        <v>1154</v>
      </c>
      <c r="G28" s="106">
        <v>13850</v>
      </c>
      <c r="H28" s="110"/>
      <c r="I28" s="106"/>
    </row>
    <row r="29" spans="1:9" x14ac:dyDescent="0.25">
      <c r="A29" s="910">
        <v>22</v>
      </c>
      <c r="B29" s="46" t="s">
        <v>143</v>
      </c>
      <c r="C29" s="111" t="s">
        <v>144</v>
      </c>
      <c r="D29" s="103"/>
      <c r="E29" s="918"/>
      <c r="F29" s="164"/>
      <c r="G29" s="106"/>
      <c r="H29" s="110"/>
      <c r="I29" s="106"/>
    </row>
    <row r="30" spans="1:9" x14ac:dyDescent="0.25">
      <c r="A30" s="910">
        <v>23</v>
      </c>
      <c r="B30" s="46" t="s">
        <v>145</v>
      </c>
      <c r="C30" s="111" t="s">
        <v>146</v>
      </c>
      <c r="D30" s="103"/>
      <c r="E30" s="918"/>
      <c r="F30" s="164"/>
      <c r="G30" s="106"/>
      <c r="H30" s="110"/>
      <c r="I30" s="106"/>
    </row>
    <row r="31" spans="1:9" ht="25.5" x14ac:dyDescent="0.25">
      <c r="A31" s="910">
        <v>24</v>
      </c>
      <c r="B31" s="46" t="s">
        <v>147</v>
      </c>
      <c r="C31" s="111" t="s">
        <v>148</v>
      </c>
      <c r="D31" s="103"/>
      <c r="E31" s="918"/>
      <c r="F31" s="164"/>
      <c r="G31" s="106"/>
      <c r="H31" s="110"/>
      <c r="I31" s="106"/>
    </row>
    <row r="32" spans="1:9" x14ac:dyDescent="0.25">
      <c r="A32" s="910">
        <v>25</v>
      </c>
      <c r="B32" s="37" t="s">
        <v>149</v>
      </c>
      <c r="C32" s="111" t="s">
        <v>150</v>
      </c>
      <c r="D32" s="103">
        <v>5167</v>
      </c>
      <c r="E32" s="918">
        <f>1310-50</f>
        <v>1260</v>
      </c>
      <c r="F32" s="164"/>
      <c r="G32" s="106"/>
      <c r="H32" s="110"/>
      <c r="I32" s="106"/>
    </row>
    <row r="33" spans="1:9" x14ac:dyDescent="0.25">
      <c r="A33" s="910">
        <v>26</v>
      </c>
      <c r="B33" s="46" t="s">
        <v>151</v>
      </c>
      <c r="C33" s="111" t="s">
        <v>152</v>
      </c>
      <c r="D33" s="103"/>
      <c r="E33" s="918"/>
      <c r="F33" s="164"/>
      <c r="G33" s="106"/>
      <c r="H33" s="110"/>
      <c r="I33" s="106"/>
    </row>
    <row r="34" spans="1:9" x14ac:dyDescent="0.25">
      <c r="A34" s="910">
        <v>27</v>
      </c>
      <c r="B34" s="37" t="s">
        <v>153</v>
      </c>
      <c r="C34" s="111" t="s">
        <v>154</v>
      </c>
      <c r="D34" s="103"/>
      <c r="E34" s="918"/>
      <c r="F34" s="164"/>
      <c r="G34" s="106"/>
      <c r="H34" s="110"/>
      <c r="I34" s="106"/>
    </row>
    <row r="35" spans="1:9" ht="25.5" customHeight="1" x14ac:dyDescent="0.25">
      <c r="A35" s="910">
        <v>28</v>
      </c>
      <c r="B35" s="37" t="s">
        <v>155</v>
      </c>
      <c r="C35" s="172" t="s">
        <v>156</v>
      </c>
      <c r="D35" s="103"/>
      <c r="E35" s="918"/>
      <c r="F35" s="164"/>
      <c r="G35" s="106"/>
      <c r="H35" s="110"/>
      <c r="I35" s="106"/>
    </row>
    <row r="36" spans="1:9" x14ac:dyDescent="0.25">
      <c r="A36" s="910">
        <v>29</v>
      </c>
      <c r="B36" s="46" t="s">
        <v>157</v>
      </c>
      <c r="C36" s="111" t="s">
        <v>158</v>
      </c>
      <c r="D36" s="103">
        <v>8976</v>
      </c>
      <c r="E36" s="918">
        <v>2631</v>
      </c>
      <c r="F36" s="164">
        <v>594</v>
      </c>
      <c r="G36" s="106">
        <v>8310</v>
      </c>
      <c r="H36" s="110"/>
      <c r="I36" s="106"/>
    </row>
    <row r="37" spans="1:9" x14ac:dyDescent="0.25">
      <c r="A37" s="910">
        <v>30</v>
      </c>
      <c r="B37" s="37" t="s">
        <v>46</v>
      </c>
      <c r="C37" s="111" t="s">
        <v>47</v>
      </c>
      <c r="D37" s="103">
        <v>15975</v>
      </c>
      <c r="E37" s="918">
        <f>1894+2106</f>
        <v>4000</v>
      </c>
      <c r="F37" s="164">
        <v>1241</v>
      </c>
      <c r="G37" s="106">
        <v>17728</v>
      </c>
      <c r="H37" s="110">
        <v>233</v>
      </c>
      <c r="I37" s="106">
        <v>2790</v>
      </c>
    </row>
    <row r="38" spans="1:9" x14ac:dyDescent="0.25">
      <c r="A38" s="910">
        <v>31</v>
      </c>
      <c r="B38" s="48" t="s">
        <v>159</v>
      </c>
      <c r="C38" s="111" t="s">
        <v>160</v>
      </c>
      <c r="D38" s="103">
        <v>2591</v>
      </c>
      <c r="E38" s="918">
        <f>659-40</f>
        <v>619</v>
      </c>
      <c r="F38" s="164">
        <v>504</v>
      </c>
      <c r="G38" s="106">
        <v>3878</v>
      </c>
      <c r="H38" s="110"/>
      <c r="I38" s="106"/>
    </row>
    <row r="39" spans="1:9" x14ac:dyDescent="0.25">
      <c r="A39" s="910">
        <v>32</v>
      </c>
      <c r="B39" s="37" t="s">
        <v>58</v>
      </c>
      <c r="C39" s="111" t="s">
        <v>59</v>
      </c>
      <c r="D39" s="103">
        <v>9094</v>
      </c>
      <c r="E39" s="918">
        <v>966</v>
      </c>
      <c r="F39" s="164">
        <v>577</v>
      </c>
      <c r="G39" s="106">
        <v>6925</v>
      </c>
      <c r="H39" s="110">
        <v>155</v>
      </c>
      <c r="I39" s="106">
        <v>1860</v>
      </c>
    </row>
    <row r="40" spans="1:9" x14ac:dyDescent="0.25">
      <c r="A40" s="910">
        <v>33</v>
      </c>
      <c r="B40" s="37" t="s">
        <v>161</v>
      </c>
      <c r="C40" s="111" t="s">
        <v>162</v>
      </c>
      <c r="D40" s="103">
        <v>3256</v>
      </c>
      <c r="E40" s="918">
        <f>1313-70</f>
        <v>1243</v>
      </c>
      <c r="F40" s="164">
        <v>324</v>
      </c>
      <c r="G40" s="106">
        <v>2493</v>
      </c>
      <c r="H40" s="110"/>
      <c r="I40" s="106"/>
    </row>
    <row r="41" spans="1:9" x14ac:dyDescent="0.25">
      <c r="A41" s="910">
        <v>34</v>
      </c>
      <c r="B41" s="46" t="s">
        <v>82</v>
      </c>
      <c r="C41" s="111" t="s">
        <v>83</v>
      </c>
      <c r="D41" s="103">
        <v>8738</v>
      </c>
      <c r="E41" s="918">
        <v>3177</v>
      </c>
      <c r="F41" s="164">
        <v>693</v>
      </c>
      <c r="G41" s="106">
        <v>8310</v>
      </c>
      <c r="H41" s="110"/>
      <c r="I41" s="106"/>
    </row>
    <row r="42" spans="1:9" x14ac:dyDescent="0.25">
      <c r="A42" s="910">
        <v>35</v>
      </c>
      <c r="B42" s="37" t="s">
        <v>163</v>
      </c>
      <c r="C42" s="111" t="s">
        <v>164</v>
      </c>
      <c r="D42" s="103">
        <v>2912</v>
      </c>
      <c r="E42" s="918">
        <f>705-50</f>
        <v>655</v>
      </c>
      <c r="F42" s="164"/>
      <c r="G42" s="106"/>
      <c r="H42" s="110"/>
      <c r="I42" s="106"/>
    </row>
    <row r="43" spans="1:9" x14ac:dyDescent="0.25">
      <c r="A43" s="910">
        <v>36</v>
      </c>
      <c r="B43" s="37" t="s">
        <v>165</v>
      </c>
      <c r="C43" s="111" t="s">
        <v>166</v>
      </c>
      <c r="D43" s="103">
        <v>1816</v>
      </c>
      <c r="E43" s="918">
        <f>387-50</f>
        <v>337</v>
      </c>
      <c r="F43" s="164"/>
      <c r="G43" s="106"/>
      <c r="H43" s="110"/>
      <c r="I43" s="106"/>
    </row>
    <row r="44" spans="1:9" x14ac:dyDescent="0.25">
      <c r="A44" s="910">
        <v>37</v>
      </c>
      <c r="B44" s="50" t="s">
        <v>86</v>
      </c>
      <c r="C44" s="113" t="s">
        <v>87</v>
      </c>
      <c r="D44" s="103">
        <f>3300+874</f>
        <v>4174</v>
      </c>
      <c r="E44" s="918">
        <f>917-437</f>
        <v>480</v>
      </c>
      <c r="F44" s="164"/>
      <c r="G44" s="106"/>
      <c r="H44" s="110"/>
      <c r="I44" s="106"/>
    </row>
    <row r="45" spans="1:9" x14ac:dyDescent="0.25">
      <c r="A45" s="910">
        <v>38</v>
      </c>
      <c r="B45" s="37" t="s">
        <v>167</v>
      </c>
      <c r="C45" s="111" t="s">
        <v>168</v>
      </c>
      <c r="D45" s="103">
        <f>1712+306</f>
        <v>2018</v>
      </c>
      <c r="E45" s="918">
        <f>595-153</f>
        <v>442</v>
      </c>
      <c r="F45" s="164"/>
      <c r="G45" s="106"/>
      <c r="H45" s="110"/>
      <c r="I45" s="106"/>
    </row>
    <row r="46" spans="1:9" x14ac:dyDescent="0.25">
      <c r="A46" s="910">
        <v>39</v>
      </c>
      <c r="B46" s="48" t="s">
        <v>169</v>
      </c>
      <c r="C46" s="111" t="s">
        <v>170</v>
      </c>
      <c r="D46" s="103"/>
      <c r="E46" s="918"/>
      <c r="F46" s="164"/>
      <c r="G46" s="106"/>
      <c r="H46" s="110"/>
      <c r="I46" s="106"/>
    </row>
    <row r="47" spans="1:9" x14ac:dyDescent="0.25">
      <c r="A47" s="910">
        <v>40</v>
      </c>
      <c r="B47" s="46" t="s">
        <v>171</v>
      </c>
      <c r="C47" s="111" t="s">
        <v>172</v>
      </c>
      <c r="D47" s="103">
        <v>12612</v>
      </c>
      <c r="E47" s="918">
        <v>2793</v>
      </c>
      <c r="F47" s="164">
        <v>577</v>
      </c>
      <c r="G47" s="106">
        <v>6925</v>
      </c>
      <c r="H47" s="110"/>
      <c r="I47" s="106"/>
    </row>
    <row r="48" spans="1:9" x14ac:dyDescent="0.25">
      <c r="A48" s="910">
        <v>41</v>
      </c>
      <c r="B48" s="37" t="s">
        <v>78</v>
      </c>
      <c r="C48" s="111" t="s">
        <v>79</v>
      </c>
      <c r="D48" s="103">
        <v>2713</v>
      </c>
      <c r="E48" s="918">
        <v>769</v>
      </c>
      <c r="F48" s="164"/>
      <c r="G48" s="106"/>
      <c r="H48" s="110"/>
      <c r="I48" s="106"/>
    </row>
    <row r="49" spans="1:9" x14ac:dyDescent="0.25">
      <c r="A49" s="910">
        <v>42</v>
      </c>
      <c r="B49" s="46" t="s">
        <v>173</v>
      </c>
      <c r="C49" s="111" t="s">
        <v>174</v>
      </c>
      <c r="D49" s="103">
        <v>10396</v>
      </c>
      <c r="E49" s="918">
        <f>4100-100</f>
        <v>4000</v>
      </c>
      <c r="F49" s="164">
        <v>808</v>
      </c>
      <c r="G49" s="106">
        <v>9695</v>
      </c>
      <c r="H49" s="110"/>
      <c r="I49" s="106"/>
    </row>
    <row r="50" spans="1:9" x14ac:dyDescent="0.25">
      <c r="A50" s="910">
        <v>43</v>
      </c>
      <c r="B50" s="37" t="s">
        <v>175</v>
      </c>
      <c r="C50" s="111" t="s">
        <v>176</v>
      </c>
      <c r="D50" s="103">
        <v>2317</v>
      </c>
      <c r="E50" s="918">
        <f>568-40</f>
        <v>528</v>
      </c>
      <c r="F50" s="164"/>
      <c r="G50" s="106"/>
      <c r="H50" s="110"/>
      <c r="I50" s="106"/>
    </row>
    <row r="51" spans="1:9" x14ac:dyDescent="0.25">
      <c r="A51" s="910">
        <v>44</v>
      </c>
      <c r="B51" s="37" t="s">
        <v>42</v>
      </c>
      <c r="C51" s="111" t="s">
        <v>43</v>
      </c>
      <c r="D51" s="103">
        <v>3330</v>
      </c>
      <c r="E51" s="918">
        <v>624</v>
      </c>
      <c r="F51" s="164"/>
      <c r="G51" s="106"/>
      <c r="H51" s="110"/>
      <c r="I51" s="106"/>
    </row>
    <row r="52" spans="1:9" x14ac:dyDescent="0.25">
      <c r="A52" s="910">
        <v>45</v>
      </c>
      <c r="B52" s="46" t="s">
        <v>177</v>
      </c>
      <c r="C52" s="111" t="s">
        <v>178</v>
      </c>
      <c r="D52" s="103">
        <v>3926</v>
      </c>
      <c r="E52" s="918">
        <v>2144</v>
      </c>
      <c r="F52" s="164">
        <v>863</v>
      </c>
      <c r="G52" s="106">
        <v>6648</v>
      </c>
      <c r="H52" s="110"/>
      <c r="I52" s="106"/>
    </row>
    <row r="53" spans="1:9" x14ac:dyDescent="0.25">
      <c r="A53" s="910">
        <v>46</v>
      </c>
      <c r="B53" s="46" t="s">
        <v>179</v>
      </c>
      <c r="C53" s="111" t="s">
        <v>180</v>
      </c>
      <c r="D53" s="103">
        <v>1593</v>
      </c>
      <c r="E53" s="918">
        <v>361</v>
      </c>
      <c r="F53" s="164"/>
      <c r="G53" s="106"/>
      <c r="H53" s="110"/>
      <c r="I53" s="106"/>
    </row>
    <row r="54" spans="1:9" x14ac:dyDescent="0.25">
      <c r="A54" s="910">
        <v>47</v>
      </c>
      <c r="B54" s="37" t="s">
        <v>181</v>
      </c>
      <c r="C54" s="111" t="s">
        <v>182</v>
      </c>
      <c r="D54" s="103">
        <v>2559</v>
      </c>
      <c r="E54" s="918">
        <f>541-50</f>
        <v>491</v>
      </c>
      <c r="F54" s="164"/>
      <c r="G54" s="106"/>
      <c r="H54" s="110"/>
      <c r="I54" s="106"/>
    </row>
    <row r="55" spans="1:9" x14ac:dyDescent="0.25">
      <c r="A55" s="910">
        <v>48</v>
      </c>
      <c r="B55" s="46" t="s">
        <v>183</v>
      </c>
      <c r="C55" s="111" t="s">
        <v>184</v>
      </c>
      <c r="D55" s="103">
        <v>3910</v>
      </c>
      <c r="E55" s="918">
        <v>920</v>
      </c>
      <c r="F55" s="164"/>
      <c r="G55" s="106"/>
      <c r="H55" s="110"/>
      <c r="I55" s="106"/>
    </row>
    <row r="56" spans="1:9" x14ac:dyDescent="0.25">
      <c r="A56" s="910">
        <v>49</v>
      </c>
      <c r="B56" s="37" t="s">
        <v>185</v>
      </c>
      <c r="C56" s="111" t="s">
        <v>186</v>
      </c>
      <c r="D56" s="103">
        <v>14268</v>
      </c>
      <c r="E56" s="918">
        <v>5954</v>
      </c>
      <c r="F56" s="164">
        <v>923</v>
      </c>
      <c r="G56" s="106">
        <v>11080</v>
      </c>
      <c r="H56" s="110">
        <v>233</v>
      </c>
      <c r="I56" s="106">
        <v>2790</v>
      </c>
    </row>
    <row r="57" spans="1:9" x14ac:dyDescent="0.25">
      <c r="A57" s="910">
        <v>50</v>
      </c>
      <c r="B57" s="46" t="s">
        <v>187</v>
      </c>
      <c r="C57" s="111" t="s">
        <v>188</v>
      </c>
      <c r="D57" s="103">
        <v>2061</v>
      </c>
      <c r="E57" s="918">
        <v>387</v>
      </c>
      <c r="F57" s="164"/>
      <c r="G57" s="106"/>
      <c r="H57" s="110"/>
      <c r="I57" s="106"/>
    </row>
    <row r="58" spans="1:9" x14ac:dyDescent="0.25">
      <c r="A58" s="910">
        <v>51</v>
      </c>
      <c r="B58" s="46" t="s">
        <v>189</v>
      </c>
      <c r="C58" s="111" t="s">
        <v>190</v>
      </c>
      <c r="D58" s="103"/>
      <c r="E58" s="918"/>
      <c r="F58" s="164"/>
      <c r="G58" s="106"/>
      <c r="H58" s="110"/>
      <c r="I58" s="106"/>
    </row>
    <row r="59" spans="1:9" ht="17.25" customHeight="1" x14ac:dyDescent="0.25">
      <c r="A59" s="910">
        <v>52</v>
      </c>
      <c r="B59" s="911" t="s">
        <v>191</v>
      </c>
      <c r="C59" s="112" t="s">
        <v>192</v>
      </c>
      <c r="D59" s="103"/>
      <c r="E59" s="918"/>
      <c r="F59" s="164"/>
      <c r="G59" s="106"/>
      <c r="H59" s="110"/>
      <c r="I59" s="106"/>
    </row>
    <row r="60" spans="1:9" ht="17.25" customHeight="1" x14ac:dyDescent="0.25">
      <c r="A60" s="910">
        <v>53</v>
      </c>
      <c r="B60" s="46" t="s">
        <v>22</v>
      </c>
      <c r="C60" s="111" t="s">
        <v>23</v>
      </c>
      <c r="D60" s="103"/>
      <c r="E60" s="918"/>
      <c r="F60" s="164"/>
      <c r="G60" s="106"/>
      <c r="H60" s="110"/>
      <c r="I60" s="106"/>
    </row>
    <row r="61" spans="1:9" ht="17.25" customHeight="1" x14ac:dyDescent="0.25">
      <c r="A61" s="910">
        <v>54</v>
      </c>
      <c r="B61" s="46" t="s">
        <v>24</v>
      </c>
      <c r="C61" s="111" t="s">
        <v>25</v>
      </c>
      <c r="D61" s="103"/>
      <c r="E61" s="918"/>
      <c r="F61" s="164"/>
      <c r="G61" s="106"/>
      <c r="H61" s="110"/>
      <c r="I61" s="106"/>
    </row>
    <row r="62" spans="1:9" ht="17.25" customHeight="1" x14ac:dyDescent="0.25">
      <c r="A62" s="910">
        <v>55</v>
      </c>
      <c r="B62" s="46" t="s">
        <v>193</v>
      </c>
      <c r="C62" s="111" t="s">
        <v>194</v>
      </c>
      <c r="D62" s="103"/>
      <c r="E62" s="918"/>
      <c r="F62" s="164"/>
      <c r="G62" s="106"/>
      <c r="H62" s="110"/>
      <c r="I62" s="106"/>
    </row>
    <row r="63" spans="1:9" ht="17.25" customHeight="1" x14ac:dyDescent="0.25">
      <c r="A63" s="910">
        <v>56</v>
      </c>
      <c r="B63" s="37" t="s">
        <v>26</v>
      </c>
      <c r="C63" s="111" t="s">
        <v>27</v>
      </c>
      <c r="D63" s="103"/>
      <c r="E63" s="918"/>
      <c r="F63" s="164"/>
      <c r="G63" s="106"/>
      <c r="H63" s="110"/>
      <c r="I63" s="106"/>
    </row>
    <row r="64" spans="1:9" ht="17.25" customHeight="1" x14ac:dyDescent="0.25">
      <c r="A64" s="910">
        <v>57</v>
      </c>
      <c r="B64" s="48" t="s">
        <v>28</v>
      </c>
      <c r="C64" s="111" t="s">
        <v>29</v>
      </c>
      <c r="D64" s="103"/>
      <c r="E64" s="918"/>
      <c r="F64" s="164"/>
      <c r="G64" s="106"/>
      <c r="H64" s="110"/>
      <c r="I64" s="106"/>
    </row>
    <row r="65" spans="1:9" ht="29.25" customHeight="1" x14ac:dyDescent="0.25">
      <c r="A65" s="910">
        <v>58</v>
      </c>
      <c r="B65" s="37" t="s">
        <v>196</v>
      </c>
      <c r="C65" s="111" t="s">
        <v>197</v>
      </c>
      <c r="D65" s="103"/>
      <c r="E65" s="918"/>
      <c r="F65" s="164"/>
      <c r="G65" s="106"/>
      <c r="H65" s="110"/>
      <c r="I65" s="106"/>
    </row>
    <row r="66" spans="1:9" ht="29.25" customHeight="1" x14ac:dyDescent="0.25">
      <c r="A66" s="910">
        <v>59</v>
      </c>
      <c r="B66" s="46" t="s">
        <v>198</v>
      </c>
      <c r="C66" s="111" t="s">
        <v>199</v>
      </c>
      <c r="D66" s="103"/>
      <c r="E66" s="918"/>
      <c r="F66" s="164"/>
      <c r="G66" s="106"/>
      <c r="H66" s="110"/>
      <c r="I66" s="106"/>
    </row>
    <row r="67" spans="1:9" x14ac:dyDescent="0.25">
      <c r="A67" s="910">
        <v>60</v>
      </c>
      <c r="B67" s="37" t="s">
        <v>62</v>
      </c>
      <c r="C67" s="111" t="s">
        <v>200</v>
      </c>
      <c r="D67" s="103"/>
      <c r="E67" s="918"/>
      <c r="F67" s="164"/>
      <c r="G67" s="106"/>
      <c r="H67" s="110"/>
      <c r="I67" s="106"/>
    </row>
    <row r="68" spans="1:9" x14ac:dyDescent="0.25">
      <c r="A68" s="910">
        <v>61</v>
      </c>
      <c r="B68" s="37" t="s">
        <v>64</v>
      </c>
      <c r="C68" s="111" t="s">
        <v>201</v>
      </c>
      <c r="D68" s="103"/>
      <c r="E68" s="918"/>
      <c r="F68" s="164"/>
      <c r="G68" s="106"/>
      <c r="H68" s="110"/>
      <c r="I68" s="106"/>
    </row>
    <row r="69" spans="1:9" x14ac:dyDescent="0.25">
      <c r="A69" s="910">
        <v>62</v>
      </c>
      <c r="B69" s="37" t="s">
        <v>66</v>
      </c>
      <c r="C69" s="111" t="s">
        <v>202</v>
      </c>
      <c r="D69" s="103"/>
      <c r="E69" s="918"/>
      <c r="F69" s="164"/>
      <c r="G69" s="106"/>
      <c r="H69" s="110"/>
      <c r="I69" s="106"/>
    </row>
    <row r="70" spans="1:9" ht="25.5" x14ac:dyDescent="0.25">
      <c r="A70" s="910">
        <v>63</v>
      </c>
      <c r="B70" s="37" t="s">
        <v>203</v>
      </c>
      <c r="C70" s="111" t="s">
        <v>204</v>
      </c>
      <c r="D70" s="103"/>
      <c r="E70" s="918"/>
      <c r="F70" s="164"/>
      <c r="G70" s="106"/>
      <c r="H70" s="110"/>
      <c r="I70" s="106"/>
    </row>
    <row r="71" spans="1:9" ht="25.5" x14ac:dyDescent="0.25">
      <c r="A71" s="910">
        <v>64</v>
      </c>
      <c r="B71" s="37" t="s">
        <v>205</v>
      </c>
      <c r="C71" s="111" t="s">
        <v>206</v>
      </c>
      <c r="D71" s="103"/>
      <c r="E71" s="918"/>
      <c r="F71" s="164"/>
      <c r="G71" s="106"/>
      <c r="H71" s="110"/>
      <c r="I71" s="106"/>
    </row>
    <row r="72" spans="1:9" ht="25.5" x14ac:dyDescent="0.25">
      <c r="A72" s="910">
        <v>65</v>
      </c>
      <c r="B72" s="37" t="s">
        <v>207</v>
      </c>
      <c r="C72" s="111" t="s">
        <v>208</v>
      </c>
      <c r="D72" s="103"/>
      <c r="E72" s="918"/>
      <c r="F72" s="164"/>
      <c r="G72" s="106"/>
      <c r="H72" s="110"/>
      <c r="I72" s="106"/>
    </row>
    <row r="73" spans="1:9" ht="25.5" x14ac:dyDescent="0.25">
      <c r="A73" s="910">
        <v>66</v>
      </c>
      <c r="B73" s="37" t="s">
        <v>209</v>
      </c>
      <c r="C73" s="111" t="s">
        <v>210</v>
      </c>
      <c r="D73" s="103"/>
      <c r="E73" s="918"/>
      <c r="F73" s="164"/>
      <c r="G73" s="106"/>
      <c r="H73" s="110"/>
      <c r="I73" s="106"/>
    </row>
    <row r="74" spans="1:9" ht="25.5" x14ac:dyDescent="0.25">
      <c r="A74" s="910">
        <v>67</v>
      </c>
      <c r="B74" s="46" t="s">
        <v>211</v>
      </c>
      <c r="C74" s="111" t="s">
        <v>212</v>
      </c>
      <c r="D74" s="103"/>
      <c r="E74" s="918"/>
      <c r="F74" s="164"/>
      <c r="G74" s="106"/>
      <c r="H74" s="110"/>
      <c r="I74" s="106"/>
    </row>
    <row r="75" spans="1:9" ht="25.5" x14ac:dyDescent="0.25">
      <c r="A75" s="910">
        <v>68</v>
      </c>
      <c r="B75" s="37" t="s">
        <v>213</v>
      </c>
      <c r="C75" s="111" t="s">
        <v>214</v>
      </c>
      <c r="D75" s="103"/>
      <c r="E75" s="918"/>
      <c r="F75" s="164"/>
      <c r="G75" s="106"/>
      <c r="H75" s="110"/>
      <c r="I75" s="106"/>
    </row>
    <row r="76" spans="1:9" ht="25.5" x14ac:dyDescent="0.25">
      <c r="A76" s="910">
        <v>69</v>
      </c>
      <c r="B76" s="46" t="s">
        <v>215</v>
      </c>
      <c r="C76" s="111" t="s">
        <v>216</v>
      </c>
      <c r="D76" s="103"/>
      <c r="E76" s="918"/>
      <c r="F76" s="164"/>
      <c r="G76" s="106"/>
      <c r="H76" s="110"/>
      <c r="I76" s="106"/>
    </row>
    <row r="77" spans="1:9" x14ac:dyDescent="0.25">
      <c r="A77" s="910">
        <v>70</v>
      </c>
      <c r="B77" s="37" t="s">
        <v>217</v>
      </c>
      <c r="C77" s="111" t="s">
        <v>218</v>
      </c>
      <c r="D77" s="103"/>
      <c r="E77" s="918"/>
      <c r="F77" s="164"/>
      <c r="G77" s="106"/>
      <c r="H77" s="110"/>
      <c r="I77" s="106"/>
    </row>
    <row r="78" spans="1:9" x14ac:dyDescent="0.25">
      <c r="A78" s="910">
        <v>71</v>
      </c>
      <c r="B78" s="46" t="s">
        <v>50</v>
      </c>
      <c r="C78" s="111" t="s">
        <v>219</v>
      </c>
      <c r="D78" s="103"/>
      <c r="E78" s="918"/>
      <c r="F78" s="164"/>
      <c r="G78" s="106"/>
      <c r="H78" s="110"/>
      <c r="I78" s="106"/>
    </row>
    <row r="79" spans="1:9" x14ac:dyDescent="0.25">
      <c r="A79" s="910">
        <v>72</v>
      </c>
      <c r="B79" s="46" t="s">
        <v>52</v>
      </c>
      <c r="C79" s="111" t="s">
        <v>220</v>
      </c>
      <c r="D79" s="103"/>
      <c r="E79" s="918"/>
      <c r="F79" s="164"/>
      <c r="G79" s="106"/>
      <c r="H79" s="110"/>
      <c r="I79" s="106"/>
    </row>
    <row r="80" spans="1:9" x14ac:dyDescent="0.25">
      <c r="A80" s="910">
        <v>73</v>
      </c>
      <c r="B80" s="37" t="s">
        <v>44</v>
      </c>
      <c r="C80" s="111" t="s">
        <v>221</v>
      </c>
      <c r="D80" s="103"/>
      <c r="E80" s="918"/>
      <c r="F80" s="164"/>
      <c r="G80" s="106"/>
      <c r="H80" s="110"/>
      <c r="I80" s="106"/>
    </row>
    <row r="81" spans="1:9" x14ac:dyDescent="0.25">
      <c r="A81" s="910">
        <v>74</v>
      </c>
      <c r="B81" s="37" t="s">
        <v>54</v>
      </c>
      <c r="C81" s="111" t="s">
        <v>222</v>
      </c>
      <c r="D81" s="103"/>
      <c r="E81" s="918"/>
      <c r="F81" s="164"/>
      <c r="G81" s="106"/>
      <c r="H81" s="110"/>
      <c r="I81" s="106"/>
    </row>
    <row r="82" spans="1:9" x14ac:dyDescent="0.25">
      <c r="A82" s="910">
        <v>75</v>
      </c>
      <c r="B82" s="37" t="s">
        <v>36</v>
      </c>
      <c r="C82" s="111" t="s">
        <v>37</v>
      </c>
      <c r="D82" s="103"/>
      <c r="E82" s="918"/>
      <c r="F82" s="164"/>
      <c r="G82" s="106"/>
      <c r="H82" s="110"/>
      <c r="I82" s="106"/>
    </row>
    <row r="83" spans="1:9" x14ac:dyDescent="0.25">
      <c r="A83" s="910">
        <v>76</v>
      </c>
      <c r="B83" s="37" t="s">
        <v>48</v>
      </c>
      <c r="C83" s="111" t="s">
        <v>223</v>
      </c>
      <c r="D83" s="103"/>
      <c r="E83" s="918"/>
      <c r="F83" s="164"/>
      <c r="G83" s="106"/>
      <c r="H83" s="110"/>
      <c r="I83" s="106"/>
    </row>
    <row r="84" spans="1:9" x14ac:dyDescent="0.25">
      <c r="A84" s="910">
        <v>77</v>
      </c>
      <c r="B84" s="37" t="s">
        <v>224</v>
      </c>
      <c r="C84" s="167" t="s">
        <v>225</v>
      </c>
      <c r="D84" s="103"/>
      <c r="E84" s="918"/>
      <c r="F84" s="164"/>
      <c r="G84" s="106"/>
      <c r="H84" s="110"/>
      <c r="I84" s="106"/>
    </row>
    <row r="85" spans="1:9" x14ac:dyDescent="0.25">
      <c r="A85" s="910">
        <v>78</v>
      </c>
      <c r="B85" s="52" t="s">
        <v>226</v>
      </c>
      <c r="C85" s="167" t="s">
        <v>227</v>
      </c>
      <c r="D85" s="103"/>
      <c r="E85" s="918"/>
      <c r="F85" s="164"/>
      <c r="G85" s="106"/>
      <c r="H85" s="110"/>
      <c r="I85" s="106"/>
    </row>
    <row r="86" spans="1:9" ht="25.5" x14ac:dyDescent="0.25">
      <c r="A86" s="1232">
        <v>79</v>
      </c>
      <c r="B86" s="1246" t="s">
        <v>228</v>
      </c>
      <c r="C86" s="168" t="s">
        <v>229</v>
      </c>
      <c r="D86" s="103"/>
      <c r="E86" s="918"/>
      <c r="F86" s="164"/>
      <c r="G86" s="106"/>
      <c r="H86" s="110"/>
      <c r="I86" s="106"/>
    </row>
    <row r="87" spans="1:9" ht="38.25" x14ac:dyDescent="0.25">
      <c r="A87" s="1232"/>
      <c r="B87" s="1246"/>
      <c r="C87" s="167" t="s">
        <v>230</v>
      </c>
      <c r="D87" s="103"/>
      <c r="E87" s="918"/>
      <c r="F87" s="164"/>
      <c r="G87" s="106"/>
      <c r="H87" s="110"/>
      <c r="I87" s="106"/>
    </row>
    <row r="88" spans="1:9" ht="25.5" x14ac:dyDescent="0.25">
      <c r="A88" s="1232"/>
      <c r="B88" s="1246"/>
      <c r="C88" s="167" t="s">
        <v>231</v>
      </c>
      <c r="D88" s="103"/>
      <c r="E88" s="918"/>
      <c r="F88" s="164"/>
      <c r="G88" s="106"/>
      <c r="H88" s="110"/>
      <c r="I88" s="106"/>
    </row>
    <row r="89" spans="1:9" ht="38.25" x14ac:dyDescent="0.25">
      <c r="A89" s="1232"/>
      <c r="B89" s="1246"/>
      <c r="C89" s="173" t="s">
        <v>232</v>
      </c>
      <c r="D89" s="103"/>
      <c r="E89" s="918"/>
      <c r="F89" s="164"/>
      <c r="G89" s="106"/>
      <c r="H89" s="110"/>
      <c r="I89" s="106"/>
    </row>
    <row r="90" spans="1:9" ht="25.5" x14ac:dyDescent="0.25">
      <c r="A90" s="910">
        <v>80</v>
      </c>
      <c r="B90" s="46" t="s">
        <v>233</v>
      </c>
      <c r="C90" s="111" t="s">
        <v>234</v>
      </c>
      <c r="D90" s="103"/>
      <c r="E90" s="918"/>
      <c r="F90" s="164"/>
      <c r="G90" s="106"/>
      <c r="H90" s="110"/>
      <c r="I90" s="106"/>
    </row>
    <row r="91" spans="1:9" x14ac:dyDescent="0.25">
      <c r="A91" s="910">
        <v>81</v>
      </c>
      <c r="B91" s="37" t="s">
        <v>235</v>
      </c>
      <c r="C91" s="111" t="s">
        <v>236</v>
      </c>
      <c r="D91" s="103"/>
      <c r="E91" s="918"/>
      <c r="F91" s="164"/>
      <c r="G91" s="106"/>
      <c r="H91" s="110"/>
      <c r="I91" s="106"/>
    </row>
    <row r="92" spans="1:9" x14ac:dyDescent="0.25">
      <c r="A92" s="910">
        <v>82</v>
      </c>
      <c r="B92" s="46" t="s">
        <v>74</v>
      </c>
      <c r="C92" s="111" t="s">
        <v>237</v>
      </c>
      <c r="D92" s="103"/>
      <c r="E92" s="918"/>
      <c r="F92" s="164"/>
      <c r="G92" s="106"/>
      <c r="H92" s="110"/>
      <c r="I92" s="106"/>
    </row>
    <row r="93" spans="1:9" x14ac:dyDescent="0.25">
      <c r="A93" s="910">
        <v>83</v>
      </c>
      <c r="B93" s="48" t="s">
        <v>38</v>
      </c>
      <c r="C93" s="111" t="s">
        <v>39</v>
      </c>
      <c r="D93" s="103">
        <v>1827</v>
      </c>
      <c r="E93" s="918">
        <f>535-50</f>
        <v>485</v>
      </c>
      <c r="F93" s="164"/>
      <c r="G93" s="106"/>
      <c r="H93" s="110"/>
      <c r="I93" s="106"/>
    </row>
    <row r="94" spans="1:9" x14ac:dyDescent="0.25">
      <c r="A94" s="910">
        <v>84</v>
      </c>
      <c r="B94" s="37" t="s">
        <v>40</v>
      </c>
      <c r="C94" s="111" t="s">
        <v>41</v>
      </c>
      <c r="D94" s="103">
        <v>1907</v>
      </c>
      <c r="E94" s="918">
        <v>301</v>
      </c>
      <c r="F94" s="164"/>
      <c r="G94" s="106"/>
      <c r="H94" s="110"/>
      <c r="I94" s="106"/>
    </row>
    <row r="95" spans="1:9" x14ac:dyDescent="0.25">
      <c r="A95" s="910">
        <v>85</v>
      </c>
      <c r="B95" s="37" t="s">
        <v>238</v>
      </c>
      <c r="C95" s="111" t="s">
        <v>239</v>
      </c>
      <c r="D95" s="103">
        <v>5331</v>
      </c>
      <c r="E95" s="918">
        <v>1394</v>
      </c>
      <c r="F95" s="164"/>
      <c r="G95" s="106"/>
      <c r="H95" s="110"/>
      <c r="I95" s="106"/>
    </row>
    <row r="96" spans="1:9" x14ac:dyDescent="0.25">
      <c r="A96" s="910">
        <v>86</v>
      </c>
      <c r="B96" s="48" t="s">
        <v>240</v>
      </c>
      <c r="C96" s="111" t="s">
        <v>241</v>
      </c>
      <c r="D96" s="103">
        <v>2403</v>
      </c>
      <c r="E96" s="918">
        <v>611</v>
      </c>
      <c r="F96" s="164"/>
      <c r="G96" s="106"/>
      <c r="H96" s="110"/>
      <c r="I96" s="106"/>
    </row>
    <row r="97" spans="1:9" x14ac:dyDescent="0.25">
      <c r="A97" s="910">
        <v>87</v>
      </c>
      <c r="B97" s="37" t="s">
        <v>88</v>
      </c>
      <c r="C97" s="111" t="s">
        <v>89</v>
      </c>
      <c r="D97" s="103">
        <v>2790</v>
      </c>
      <c r="E97" s="918">
        <f>1200-100</f>
        <v>1100</v>
      </c>
      <c r="F97" s="164">
        <v>360</v>
      </c>
      <c r="G97" s="106">
        <v>2770</v>
      </c>
      <c r="H97" s="110"/>
      <c r="I97" s="106"/>
    </row>
    <row r="98" spans="1:9" x14ac:dyDescent="0.25">
      <c r="A98" s="910">
        <v>88</v>
      </c>
      <c r="B98" s="48" t="s">
        <v>242</v>
      </c>
      <c r="C98" s="111" t="s">
        <v>243</v>
      </c>
      <c r="D98" s="103">
        <v>7622</v>
      </c>
      <c r="E98" s="918">
        <v>665</v>
      </c>
      <c r="F98" s="164"/>
      <c r="G98" s="106"/>
      <c r="H98" s="110"/>
      <c r="I98" s="106"/>
    </row>
    <row r="99" spans="1:9" x14ac:dyDescent="0.25">
      <c r="A99" s="910">
        <v>89</v>
      </c>
      <c r="B99" s="37" t="s">
        <v>244</v>
      </c>
      <c r="C99" s="111" t="s">
        <v>245</v>
      </c>
      <c r="D99" s="103">
        <v>5638</v>
      </c>
      <c r="E99" s="918">
        <f>799+201</f>
        <v>1000</v>
      </c>
      <c r="F99" s="164"/>
      <c r="G99" s="106"/>
      <c r="H99" s="110"/>
      <c r="I99" s="106"/>
    </row>
    <row r="100" spans="1:9" x14ac:dyDescent="0.25">
      <c r="A100" s="910">
        <v>90</v>
      </c>
      <c r="B100" s="46" t="s">
        <v>246</v>
      </c>
      <c r="C100" s="111" t="s">
        <v>247</v>
      </c>
      <c r="D100" s="103">
        <v>1787</v>
      </c>
      <c r="E100" s="918">
        <f>589-41</f>
        <v>548</v>
      </c>
      <c r="F100" s="164">
        <v>504</v>
      </c>
      <c r="G100" s="106">
        <v>3878</v>
      </c>
      <c r="H100" s="110"/>
      <c r="I100" s="106"/>
    </row>
    <row r="101" spans="1:9" x14ac:dyDescent="0.25">
      <c r="A101" s="910">
        <v>91</v>
      </c>
      <c r="B101" s="37" t="s">
        <v>248</v>
      </c>
      <c r="C101" s="111" t="s">
        <v>249</v>
      </c>
      <c r="D101" s="103">
        <v>2896</v>
      </c>
      <c r="E101" s="918">
        <v>519</v>
      </c>
      <c r="F101" s="164"/>
      <c r="G101" s="106"/>
      <c r="H101" s="110"/>
      <c r="I101" s="106"/>
    </row>
    <row r="102" spans="1:9" x14ac:dyDescent="0.25">
      <c r="A102" s="910">
        <v>92</v>
      </c>
      <c r="B102" s="37" t="s">
        <v>250</v>
      </c>
      <c r="C102" s="111" t="s">
        <v>251</v>
      </c>
      <c r="D102" s="103">
        <v>2570</v>
      </c>
      <c r="E102" s="918">
        <v>414</v>
      </c>
      <c r="F102" s="164">
        <v>360</v>
      </c>
      <c r="G102" s="106">
        <v>2770</v>
      </c>
      <c r="H102" s="110"/>
      <c r="I102" s="106"/>
    </row>
    <row r="103" spans="1:9" x14ac:dyDescent="0.25">
      <c r="A103" s="910">
        <v>93</v>
      </c>
      <c r="B103" s="46" t="s">
        <v>32</v>
      </c>
      <c r="C103" s="111" t="s">
        <v>33</v>
      </c>
      <c r="D103" s="103">
        <v>3343</v>
      </c>
      <c r="E103" s="918">
        <v>675</v>
      </c>
      <c r="F103" s="164">
        <v>540</v>
      </c>
      <c r="G103" s="106">
        <v>4155</v>
      </c>
      <c r="H103" s="110"/>
      <c r="I103" s="106"/>
    </row>
    <row r="104" spans="1:9" x14ac:dyDescent="0.25">
      <c r="A104" s="910">
        <v>94</v>
      </c>
      <c r="B104" s="37" t="s">
        <v>252</v>
      </c>
      <c r="C104" s="111" t="s">
        <v>253</v>
      </c>
      <c r="D104" s="103">
        <v>2194</v>
      </c>
      <c r="E104" s="918">
        <v>511</v>
      </c>
      <c r="F104" s="164"/>
      <c r="G104" s="106"/>
      <c r="H104" s="110"/>
      <c r="I104" s="106"/>
    </row>
    <row r="105" spans="1:9" x14ac:dyDescent="0.25">
      <c r="A105" s="910">
        <v>95</v>
      </c>
      <c r="B105" s="46" t="s">
        <v>254</v>
      </c>
      <c r="C105" s="111" t="s">
        <v>255</v>
      </c>
      <c r="D105" s="103">
        <v>3033</v>
      </c>
      <c r="E105" s="918">
        <v>543</v>
      </c>
      <c r="F105" s="164"/>
      <c r="G105" s="106"/>
      <c r="H105" s="110"/>
      <c r="I105" s="106"/>
    </row>
    <row r="106" spans="1:9" x14ac:dyDescent="0.25">
      <c r="A106" s="910">
        <v>96</v>
      </c>
      <c r="B106" s="46" t="s">
        <v>256</v>
      </c>
      <c r="C106" s="111" t="s">
        <v>257</v>
      </c>
      <c r="D106" s="103">
        <v>5516</v>
      </c>
      <c r="E106" s="918">
        <v>1074</v>
      </c>
      <c r="F106" s="164">
        <v>719</v>
      </c>
      <c r="G106" s="106">
        <v>5540</v>
      </c>
      <c r="H106" s="110"/>
      <c r="I106" s="106"/>
    </row>
    <row r="107" spans="1:9" x14ac:dyDescent="0.25">
      <c r="A107" s="910">
        <v>97</v>
      </c>
      <c r="B107" s="37" t="s">
        <v>76</v>
      </c>
      <c r="C107" s="111" t="s">
        <v>77</v>
      </c>
      <c r="D107" s="103">
        <v>2618</v>
      </c>
      <c r="E107" s="918">
        <f>665-50</f>
        <v>615</v>
      </c>
      <c r="F107" s="164"/>
      <c r="G107" s="106"/>
      <c r="H107" s="110"/>
      <c r="I107" s="106"/>
    </row>
    <row r="108" spans="1:9" x14ac:dyDescent="0.25">
      <c r="A108" s="910">
        <v>98</v>
      </c>
      <c r="B108" s="37" t="s">
        <v>258</v>
      </c>
      <c r="C108" s="111" t="s">
        <v>259</v>
      </c>
      <c r="D108" s="103"/>
      <c r="E108" s="918"/>
      <c r="F108" s="164"/>
      <c r="G108" s="106"/>
      <c r="H108" s="110"/>
      <c r="I108" s="106"/>
    </row>
    <row r="109" spans="1:9" x14ac:dyDescent="0.25">
      <c r="A109" s="910">
        <v>99</v>
      </c>
      <c r="B109" s="37" t="s">
        <v>260</v>
      </c>
      <c r="C109" s="111" t="s">
        <v>261</v>
      </c>
      <c r="D109" s="103"/>
      <c r="E109" s="918"/>
      <c r="F109" s="164"/>
      <c r="G109" s="106"/>
      <c r="H109" s="110"/>
      <c r="I109" s="106"/>
    </row>
    <row r="110" spans="1:9" x14ac:dyDescent="0.25">
      <c r="A110" s="910">
        <v>100</v>
      </c>
      <c r="B110" s="46" t="s">
        <v>264</v>
      </c>
      <c r="C110" s="111" t="s">
        <v>265</v>
      </c>
      <c r="D110" s="103"/>
      <c r="E110" s="918"/>
      <c r="F110" s="164"/>
      <c r="G110" s="106"/>
      <c r="H110" s="110"/>
      <c r="I110" s="106"/>
    </row>
    <row r="111" spans="1:9" x14ac:dyDescent="0.25">
      <c r="A111" s="910">
        <v>101</v>
      </c>
      <c r="B111" s="48" t="s">
        <v>266</v>
      </c>
      <c r="C111" s="111" t="s">
        <v>267</v>
      </c>
      <c r="D111" s="103"/>
      <c r="E111" s="918"/>
      <c r="F111" s="164"/>
      <c r="G111" s="106"/>
      <c r="H111" s="110"/>
      <c r="I111" s="106"/>
    </row>
    <row r="112" spans="1:9" x14ac:dyDescent="0.25">
      <c r="A112" s="910">
        <v>102</v>
      </c>
      <c r="B112" s="37" t="s">
        <v>268</v>
      </c>
      <c r="C112" s="111" t="s">
        <v>269</v>
      </c>
      <c r="D112" s="103"/>
      <c r="E112" s="918"/>
      <c r="F112" s="164"/>
      <c r="G112" s="106"/>
      <c r="H112" s="110"/>
      <c r="I112" s="106"/>
    </row>
    <row r="113" spans="1:9" x14ac:dyDescent="0.25">
      <c r="A113" s="910">
        <v>103</v>
      </c>
      <c r="B113" s="37" t="s">
        <v>270</v>
      </c>
      <c r="C113" s="111" t="s">
        <v>271</v>
      </c>
      <c r="D113" s="103"/>
      <c r="E113" s="918"/>
      <c r="F113" s="164"/>
      <c r="G113" s="106"/>
      <c r="H113" s="110"/>
      <c r="I113" s="106"/>
    </row>
    <row r="114" spans="1:9" x14ac:dyDescent="0.25">
      <c r="A114" s="910">
        <v>104</v>
      </c>
      <c r="B114" s="46" t="s">
        <v>272</v>
      </c>
      <c r="C114" s="111" t="s">
        <v>273</v>
      </c>
      <c r="D114" s="103"/>
      <c r="E114" s="918"/>
      <c r="F114" s="164"/>
      <c r="G114" s="106"/>
      <c r="H114" s="110"/>
      <c r="I114" s="106"/>
    </row>
    <row r="115" spans="1:9" ht="13.5" customHeight="1" x14ac:dyDescent="0.25">
      <c r="A115" s="910">
        <v>105</v>
      </c>
      <c r="B115" s="46" t="s">
        <v>274</v>
      </c>
      <c r="C115" s="111" t="s">
        <v>275</v>
      </c>
      <c r="D115" s="103"/>
      <c r="E115" s="918"/>
      <c r="F115" s="164"/>
      <c r="G115" s="106"/>
      <c r="H115" s="110"/>
      <c r="I115" s="106"/>
    </row>
    <row r="116" spans="1:9" x14ac:dyDescent="0.25">
      <c r="A116" s="910">
        <v>106</v>
      </c>
      <c r="B116" s="37" t="s">
        <v>276</v>
      </c>
      <c r="C116" s="111" t="s">
        <v>277</v>
      </c>
      <c r="D116" s="103"/>
      <c r="E116" s="918"/>
      <c r="F116" s="164"/>
      <c r="G116" s="106"/>
      <c r="H116" s="110"/>
      <c r="I116" s="106"/>
    </row>
    <row r="117" spans="1:9" x14ac:dyDescent="0.25">
      <c r="A117" s="910">
        <v>107</v>
      </c>
      <c r="B117" s="37" t="s">
        <v>278</v>
      </c>
      <c r="C117" s="111" t="s">
        <v>279</v>
      </c>
      <c r="D117" s="103"/>
      <c r="E117" s="918"/>
      <c r="F117" s="164"/>
      <c r="G117" s="106"/>
      <c r="H117" s="110"/>
      <c r="I117" s="106"/>
    </row>
    <row r="118" spans="1:9" ht="12.75" customHeight="1" x14ac:dyDescent="0.25">
      <c r="A118" s="910">
        <v>108</v>
      </c>
      <c r="B118" s="37" t="s">
        <v>280</v>
      </c>
      <c r="C118" s="111" t="s">
        <v>281</v>
      </c>
      <c r="D118" s="103"/>
      <c r="E118" s="918"/>
      <c r="F118" s="164"/>
      <c r="G118" s="106"/>
      <c r="H118" s="110"/>
      <c r="I118" s="106"/>
    </row>
    <row r="119" spans="1:9" x14ac:dyDescent="0.25">
      <c r="A119" s="910">
        <v>109</v>
      </c>
      <c r="B119" s="911" t="s">
        <v>282</v>
      </c>
      <c r="C119" s="167" t="s">
        <v>283</v>
      </c>
      <c r="D119" s="103"/>
      <c r="E119" s="918"/>
      <c r="F119" s="164"/>
      <c r="G119" s="106"/>
      <c r="H119" s="110"/>
      <c r="I119" s="106"/>
    </row>
    <row r="120" spans="1:9" x14ac:dyDescent="0.25">
      <c r="A120" s="910">
        <v>110</v>
      </c>
      <c r="B120" s="46" t="s">
        <v>284</v>
      </c>
      <c r="C120" s="111" t="s">
        <v>285</v>
      </c>
      <c r="D120" s="103"/>
      <c r="E120" s="918"/>
      <c r="F120" s="164"/>
      <c r="G120" s="106"/>
      <c r="H120" s="110"/>
      <c r="I120" s="106"/>
    </row>
    <row r="121" spans="1:9" x14ac:dyDescent="0.25">
      <c r="A121" s="910">
        <v>111</v>
      </c>
      <c r="B121" s="920" t="s">
        <v>780</v>
      </c>
      <c r="C121" s="167" t="s">
        <v>788</v>
      </c>
      <c r="D121" s="103"/>
      <c r="E121" s="918"/>
      <c r="F121" s="164"/>
      <c r="G121" s="106"/>
      <c r="H121" s="110"/>
      <c r="I121" s="106"/>
    </row>
    <row r="122" spans="1:9" x14ac:dyDescent="0.25">
      <c r="A122" s="910">
        <v>112</v>
      </c>
      <c r="B122" s="46" t="s">
        <v>286</v>
      </c>
      <c r="C122" s="111" t="s">
        <v>287</v>
      </c>
      <c r="D122" s="103"/>
      <c r="E122" s="918"/>
      <c r="F122" s="164"/>
      <c r="G122" s="106"/>
      <c r="H122" s="110"/>
      <c r="I122" s="106"/>
    </row>
    <row r="123" spans="1:9" x14ac:dyDescent="0.25">
      <c r="A123" s="910">
        <v>113</v>
      </c>
      <c r="B123" s="53" t="s">
        <v>288</v>
      </c>
      <c r="C123" s="167" t="s">
        <v>738</v>
      </c>
      <c r="D123" s="103"/>
      <c r="E123" s="918"/>
      <c r="F123" s="164"/>
      <c r="G123" s="106"/>
      <c r="H123" s="110"/>
      <c r="I123" s="106"/>
    </row>
    <row r="124" spans="1:9" x14ac:dyDescent="0.25">
      <c r="A124" s="910">
        <v>114</v>
      </c>
      <c r="B124" s="37" t="s">
        <v>290</v>
      </c>
      <c r="C124" s="111" t="s">
        <v>291</v>
      </c>
      <c r="D124" s="103"/>
      <c r="E124" s="918"/>
      <c r="F124" s="164"/>
      <c r="G124" s="106"/>
      <c r="H124" s="110"/>
      <c r="I124" s="106"/>
    </row>
    <row r="125" spans="1:9" ht="25.5" x14ac:dyDescent="0.25">
      <c r="A125" s="910">
        <v>115</v>
      </c>
      <c r="B125" s="46" t="s">
        <v>292</v>
      </c>
      <c r="C125" s="172" t="s">
        <v>293</v>
      </c>
      <c r="D125" s="103"/>
      <c r="E125" s="918"/>
      <c r="F125" s="164"/>
      <c r="G125" s="106"/>
      <c r="H125" s="110"/>
      <c r="I125" s="106"/>
    </row>
    <row r="126" spans="1:9" x14ac:dyDescent="0.25">
      <c r="A126" s="910">
        <v>116</v>
      </c>
      <c r="B126" s="37" t="s">
        <v>294</v>
      </c>
      <c r="C126" s="111" t="s">
        <v>295</v>
      </c>
      <c r="D126" s="103"/>
      <c r="E126" s="918"/>
      <c r="F126" s="164"/>
      <c r="G126" s="106"/>
      <c r="H126" s="110"/>
      <c r="I126" s="106"/>
    </row>
    <row r="127" spans="1:9" x14ac:dyDescent="0.25">
      <c r="A127" s="910">
        <v>117</v>
      </c>
      <c r="B127" s="46" t="s">
        <v>70</v>
      </c>
      <c r="C127" s="111" t="s">
        <v>296</v>
      </c>
      <c r="D127" s="103"/>
      <c r="E127" s="918"/>
      <c r="F127" s="164"/>
      <c r="G127" s="106"/>
      <c r="H127" s="110"/>
      <c r="I127" s="106"/>
    </row>
    <row r="128" spans="1:9" x14ac:dyDescent="0.25">
      <c r="A128" s="910">
        <v>118</v>
      </c>
      <c r="B128" s="46" t="s">
        <v>72</v>
      </c>
      <c r="C128" s="111" t="s">
        <v>73</v>
      </c>
      <c r="D128" s="103"/>
      <c r="E128" s="918"/>
      <c r="F128" s="164"/>
      <c r="G128" s="106"/>
      <c r="H128" s="110"/>
      <c r="I128" s="106"/>
    </row>
    <row r="129" spans="1:9" x14ac:dyDescent="0.25">
      <c r="A129" s="910">
        <v>119</v>
      </c>
      <c r="B129" s="37" t="s">
        <v>34</v>
      </c>
      <c r="C129" s="111" t="s">
        <v>35</v>
      </c>
      <c r="D129" s="103"/>
      <c r="E129" s="918"/>
      <c r="F129" s="164"/>
      <c r="G129" s="106"/>
      <c r="H129" s="110"/>
      <c r="I129" s="106"/>
    </row>
    <row r="130" spans="1:9" x14ac:dyDescent="0.25">
      <c r="A130" s="910">
        <v>120</v>
      </c>
      <c r="B130" s="46" t="s">
        <v>297</v>
      </c>
      <c r="C130" s="111" t="s">
        <v>298</v>
      </c>
      <c r="D130" s="103"/>
      <c r="E130" s="918"/>
      <c r="F130" s="164"/>
      <c r="G130" s="106"/>
      <c r="H130" s="110"/>
      <c r="I130" s="106"/>
    </row>
    <row r="131" spans="1:9" x14ac:dyDescent="0.25">
      <c r="A131" s="910">
        <v>121</v>
      </c>
      <c r="B131" s="37" t="s">
        <v>299</v>
      </c>
      <c r="C131" s="111" t="s">
        <v>300</v>
      </c>
      <c r="D131" s="103"/>
      <c r="E131" s="918"/>
      <c r="F131" s="164"/>
      <c r="G131" s="106"/>
      <c r="H131" s="110"/>
      <c r="I131" s="106"/>
    </row>
    <row r="132" spans="1:9" x14ac:dyDescent="0.25">
      <c r="A132" s="910">
        <v>122</v>
      </c>
      <c r="B132" s="37" t="s">
        <v>301</v>
      </c>
      <c r="C132" s="111" t="s">
        <v>302</v>
      </c>
      <c r="D132" s="103"/>
      <c r="E132" s="918"/>
      <c r="F132" s="164"/>
      <c r="G132" s="106"/>
      <c r="H132" s="110"/>
      <c r="I132" s="106"/>
    </row>
    <row r="133" spans="1:9" x14ac:dyDescent="0.25">
      <c r="A133" s="910">
        <v>123</v>
      </c>
      <c r="B133" s="46" t="s">
        <v>16</v>
      </c>
      <c r="C133" s="111" t="s">
        <v>17</v>
      </c>
      <c r="D133" s="103"/>
      <c r="E133" s="918"/>
      <c r="F133" s="164"/>
      <c r="G133" s="106"/>
      <c r="H133" s="110"/>
      <c r="I133" s="106"/>
    </row>
    <row r="134" spans="1:9" x14ac:dyDescent="0.25">
      <c r="A134" s="910">
        <v>124</v>
      </c>
      <c r="B134" s="46" t="s">
        <v>68</v>
      </c>
      <c r="C134" s="111" t="s">
        <v>69</v>
      </c>
      <c r="D134" s="103"/>
      <c r="E134" s="918"/>
      <c r="F134" s="164"/>
      <c r="G134" s="106"/>
      <c r="H134" s="110"/>
      <c r="I134" s="106"/>
    </row>
    <row r="135" spans="1:9" x14ac:dyDescent="0.25">
      <c r="A135" s="910">
        <v>125</v>
      </c>
      <c r="B135" s="46" t="s">
        <v>60</v>
      </c>
      <c r="C135" s="111" t="s">
        <v>303</v>
      </c>
      <c r="D135" s="103"/>
      <c r="E135" s="918"/>
      <c r="F135" s="164"/>
      <c r="G135" s="106"/>
      <c r="H135" s="110"/>
      <c r="I135" s="106"/>
    </row>
    <row r="136" spans="1:9" x14ac:dyDescent="0.25">
      <c r="A136" s="910">
        <v>126</v>
      </c>
      <c r="B136" s="46" t="s">
        <v>56</v>
      </c>
      <c r="C136" s="111" t="s">
        <v>304</v>
      </c>
      <c r="D136" s="103">
        <f>12413-1180</f>
        <v>11233</v>
      </c>
      <c r="E136" s="918">
        <f>969-456</f>
        <v>513</v>
      </c>
      <c r="F136" s="164"/>
      <c r="G136" s="106"/>
      <c r="H136" s="110"/>
      <c r="I136" s="106"/>
    </row>
    <row r="137" spans="1:9" x14ac:dyDescent="0.25">
      <c r="A137" s="910">
        <v>127</v>
      </c>
      <c r="B137" s="46" t="s">
        <v>305</v>
      </c>
      <c r="C137" s="111" t="s">
        <v>306</v>
      </c>
      <c r="D137" s="103"/>
      <c r="E137" s="165"/>
      <c r="F137" s="164"/>
      <c r="G137" s="106"/>
      <c r="H137" s="110"/>
      <c r="I137" s="106"/>
    </row>
    <row r="138" spans="1:9" x14ac:dyDescent="0.25">
      <c r="A138" s="910">
        <v>128</v>
      </c>
      <c r="B138" s="37" t="s">
        <v>307</v>
      </c>
      <c r="C138" s="111" t="s">
        <v>308</v>
      </c>
      <c r="D138" s="103"/>
      <c r="E138" s="165"/>
      <c r="F138" s="164"/>
      <c r="G138" s="106"/>
      <c r="H138" s="110"/>
      <c r="I138" s="106"/>
    </row>
    <row r="139" spans="1:9" x14ac:dyDescent="0.25">
      <c r="A139" s="910">
        <v>129</v>
      </c>
      <c r="B139" s="46" t="s">
        <v>309</v>
      </c>
      <c r="C139" s="174" t="s">
        <v>310</v>
      </c>
      <c r="D139" s="103"/>
      <c r="E139" s="165"/>
      <c r="F139" s="164"/>
      <c r="G139" s="106"/>
      <c r="H139" s="110"/>
      <c r="I139" s="106"/>
    </row>
    <row r="140" spans="1:9" x14ac:dyDescent="0.25">
      <c r="A140" s="910">
        <v>130</v>
      </c>
      <c r="B140" s="58" t="s">
        <v>311</v>
      </c>
      <c r="C140" s="51" t="s">
        <v>312</v>
      </c>
      <c r="D140" s="103">
        <v>145959</v>
      </c>
      <c r="E140" s="165">
        <v>31107</v>
      </c>
      <c r="F140" s="164">
        <v>5073</v>
      </c>
      <c r="G140" s="106">
        <v>113847</v>
      </c>
      <c r="H140" s="110">
        <v>594</v>
      </c>
      <c r="I140" s="106">
        <v>7130</v>
      </c>
    </row>
    <row r="141" spans="1:9" x14ac:dyDescent="0.25">
      <c r="A141" s="910">
        <v>131</v>
      </c>
      <c r="B141" s="59" t="s">
        <v>313</v>
      </c>
      <c r="C141" s="60" t="s">
        <v>314</v>
      </c>
      <c r="D141" s="103"/>
      <c r="E141" s="165"/>
      <c r="F141" s="164"/>
      <c r="G141" s="106"/>
      <c r="H141" s="110"/>
      <c r="I141" s="106"/>
    </row>
    <row r="142" spans="1:9" x14ac:dyDescent="0.25">
      <c r="A142" s="910">
        <v>132</v>
      </c>
      <c r="B142" s="58" t="s">
        <v>315</v>
      </c>
      <c r="C142" s="62" t="s">
        <v>316</v>
      </c>
      <c r="D142" s="103"/>
      <c r="E142" s="165"/>
      <c r="F142" s="164"/>
      <c r="G142" s="106"/>
      <c r="H142" s="110"/>
      <c r="I142" s="106"/>
    </row>
    <row r="143" spans="1:9" x14ac:dyDescent="0.25">
      <c r="A143" s="910">
        <v>133</v>
      </c>
      <c r="B143" s="63" t="s">
        <v>317</v>
      </c>
      <c r="C143" s="64" t="s">
        <v>318</v>
      </c>
      <c r="D143" s="103"/>
      <c r="E143" s="165"/>
      <c r="F143" s="164"/>
      <c r="G143" s="106"/>
      <c r="H143" s="110"/>
      <c r="I143" s="106"/>
    </row>
    <row r="144" spans="1:9" x14ac:dyDescent="0.25">
      <c r="A144" s="910">
        <v>134</v>
      </c>
      <c r="B144" s="65" t="s">
        <v>319</v>
      </c>
      <c r="C144" s="64" t="s">
        <v>320</v>
      </c>
      <c r="D144" s="103"/>
      <c r="E144" s="165"/>
      <c r="F144" s="164"/>
      <c r="G144" s="106"/>
      <c r="H144" s="110"/>
      <c r="I144" s="106"/>
    </row>
    <row r="145" spans="1:9" s="94" customFormat="1" ht="13.5" thickBot="1" x14ac:dyDescent="0.3">
      <c r="A145" s="761">
        <v>135</v>
      </c>
      <c r="B145" s="762" t="s">
        <v>728</v>
      </c>
      <c r="C145" s="921" t="s">
        <v>729</v>
      </c>
      <c r="D145" s="711"/>
      <c r="E145" s="713"/>
      <c r="F145" s="711"/>
      <c r="G145" s="715"/>
      <c r="H145" s="716"/>
      <c r="I145" s="715"/>
    </row>
    <row r="146" spans="1:9" s="95" customFormat="1" x14ac:dyDescent="0.25">
      <c r="C146" s="114"/>
      <c r="D146" s="919"/>
      <c r="E146" s="919"/>
      <c r="F146" s="919"/>
      <c r="G146" s="919"/>
      <c r="H146" s="919"/>
      <c r="I146" s="919"/>
    </row>
    <row r="147" spans="1:9" x14ac:dyDescent="0.25">
      <c r="F147" s="94"/>
      <c r="G147" s="94"/>
      <c r="H147" s="94"/>
      <c r="I147" s="94"/>
    </row>
    <row r="148" spans="1:9" s="115" customFormat="1" x14ac:dyDescent="0.25">
      <c r="C148" s="116"/>
      <c r="D148" s="94"/>
      <c r="E148" s="94"/>
      <c r="F148" s="117"/>
      <c r="G148" s="117"/>
      <c r="H148" s="117"/>
      <c r="I148" s="117"/>
    </row>
    <row r="149" spans="1:9" x14ac:dyDescent="0.25">
      <c r="G149" s="118"/>
      <c r="I149" s="118"/>
    </row>
    <row r="150" spans="1:9" x14ac:dyDescent="0.25">
      <c r="G150" s="118"/>
    </row>
  </sheetData>
  <mergeCells count="12">
    <mergeCell ref="A1:I1"/>
    <mergeCell ref="A3:A4"/>
    <mergeCell ref="B3:B4"/>
    <mergeCell ref="C3:C4"/>
    <mergeCell ref="D3:E3"/>
    <mergeCell ref="F3:G3"/>
    <mergeCell ref="H3:I3"/>
    <mergeCell ref="A5:C5"/>
    <mergeCell ref="A6:C6"/>
    <mergeCell ref="A7:C7"/>
    <mergeCell ref="B86:B89"/>
    <mergeCell ref="A86:A8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150"/>
  <sheetViews>
    <sheetView zoomScale="90" zoomScaleNormal="90" workbookViewId="0">
      <pane xSplit="3" ySplit="7" topLeftCell="D98" activePane="bottomRight" state="frozen"/>
      <selection pane="topRight" activeCell="D1" sqref="D1"/>
      <selection pane="bottomLeft" activeCell="A9" sqref="A9"/>
      <selection pane="bottomRight" activeCell="B121" sqref="B121:C121"/>
    </sheetView>
  </sheetViews>
  <sheetFormatPr defaultRowHeight="12.75" x14ac:dyDescent="0.2"/>
  <cols>
    <col min="1" max="1" width="6.140625" style="141" customWidth="1"/>
    <col min="2" max="2" width="9.140625" style="141"/>
    <col min="3" max="3" width="36.140625" style="141" customWidth="1"/>
    <col min="4" max="4" width="17.140625" style="16" customWidth="1"/>
    <col min="5" max="5" width="14.7109375" style="16" customWidth="1"/>
    <col min="6" max="6" width="14.28515625" style="142" customWidth="1"/>
    <col min="7" max="7" width="13.28515625" style="141" customWidth="1"/>
    <col min="8" max="8" width="12.7109375" style="143" customWidth="1"/>
    <col min="9" max="9" width="13.140625" style="141" customWidth="1"/>
    <col min="10" max="16384" width="9.140625" style="141"/>
  </cols>
  <sheetData>
    <row r="1" spans="1:9" ht="15.75" x14ac:dyDescent="0.25">
      <c r="A1" s="1233" t="s">
        <v>349</v>
      </c>
      <c r="B1" s="1257"/>
      <c r="C1" s="1257"/>
      <c r="D1" s="1257"/>
      <c r="E1" s="1257"/>
      <c r="F1" s="1257"/>
      <c r="G1" s="1258"/>
      <c r="H1" s="1258"/>
      <c r="I1" s="1258"/>
    </row>
    <row r="2" spans="1:9" ht="13.5" thickBot="1" x14ac:dyDescent="0.25"/>
    <row r="3" spans="1:9" s="144" customFormat="1" ht="24" customHeight="1" x14ac:dyDescent="0.25">
      <c r="A3" s="1259" t="s">
        <v>0</v>
      </c>
      <c r="B3" s="1223" t="s">
        <v>337</v>
      </c>
      <c r="C3" s="1251" t="s">
        <v>93</v>
      </c>
      <c r="D3" s="1229" t="s">
        <v>338</v>
      </c>
      <c r="E3" s="1261"/>
      <c r="F3" s="1229" t="s">
        <v>339</v>
      </c>
      <c r="G3" s="1262"/>
      <c r="H3" s="1263" t="s">
        <v>340</v>
      </c>
      <c r="I3" s="1262"/>
    </row>
    <row r="4" spans="1:9" s="145" customFormat="1" ht="45" customHeight="1" thickBot="1" x14ac:dyDescent="0.25">
      <c r="A4" s="1260"/>
      <c r="B4" s="1250"/>
      <c r="C4" s="1252"/>
      <c r="D4" s="97" t="s">
        <v>325</v>
      </c>
      <c r="E4" s="146" t="s">
        <v>326</v>
      </c>
      <c r="F4" s="147" t="s">
        <v>327</v>
      </c>
      <c r="G4" s="98" t="s">
        <v>328</v>
      </c>
      <c r="H4" s="99" t="s">
        <v>329</v>
      </c>
      <c r="I4" s="98" t="s">
        <v>330</v>
      </c>
    </row>
    <row r="5" spans="1:9" x14ac:dyDescent="0.2">
      <c r="A5" s="1243" t="s">
        <v>331</v>
      </c>
      <c r="B5" s="1244"/>
      <c r="C5" s="1245"/>
      <c r="D5" s="148">
        <f t="shared" ref="D5:I5" si="0">SUM(D6:D7)</f>
        <v>50318</v>
      </c>
      <c r="E5" s="149">
        <f t="shared" si="0"/>
        <v>6273</v>
      </c>
      <c r="F5" s="148">
        <f t="shared" si="0"/>
        <v>5434</v>
      </c>
      <c r="G5" s="150">
        <f t="shared" si="0"/>
        <v>167376</v>
      </c>
      <c r="H5" s="151">
        <f t="shared" si="0"/>
        <v>4074</v>
      </c>
      <c r="I5" s="150">
        <f t="shared" si="0"/>
        <v>85560</v>
      </c>
    </row>
    <row r="6" spans="1:9" x14ac:dyDescent="0.2">
      <c r="A6" s="1211" t="s">
        <v>106</v>
      </c>
      <c r="B6" s="1212"/>
      <c r="C6" s="1214"/>
      <c r="D6" s="44"/>
      <c r="E6" s="152"/>
      <c r="F6" s="28">
        <v>495</v>
      </c>
      <c r="G6" s="153">
        <v>14850</v>
      </c>
      <c r="H6" s="154"/>
      <c r="I6" s="155"/>
    </row>
    <row r="7" spans="1:9" x14ac:dyDescent="0.2">
      <c r="A7" s="1211" t="s">
        <v>108</v>
      </c>
      <c r="B7" s="1212"/>
      <c r="C7" s="1214"/>
      <c r="D7" s="107">
        <f>SUM(D8:D145)-D86</f>
        <v>50318</v>
      </c>
      <c r="E7" s="136">
        <f t="shared" ref="E7:I7" si="1">SUM(E8:E145)-E86</f>
        <v>6273</v>
      </c>
      <c r="F7" s="107">
        <f t="shared" si="1"/>
        <v>4939</v>
      </c>
      <c r="G7" s="108">
        <f t="shared" si="1"/>
        <v>152526</v>
      </c>
      <c r="H7" s="130">
        <f t="shared" si="1"/>
        <v>4074</v>
      </c>
      <c r="I7" s="108">
        <f t="shared" si="1"/>
        <v>85560</v>
      </c>
    </row>
    <row r="8" spans="1:9" x14ac:dyDescent="0.2">
      <c r="A8" s="692">
        <v>1</v>
      </c>
      <c r="B8" s="48" t="s">
        <v>109</v>
      </c>
      <c r="C8" s="111" t="s">
        <v>110</v>
      </c>
      <c r="D8" s="44"/>
      <c r="E8" s="152"/>
      <c r="F8" s="156"/>
      <c r="G8" s="157"/>
      <c r="H8" s="110"/>
      <c r="I8" s="157"/>
    </row>
    <row r="9" spans="1:9" x14ac:dyDescent="0.2">
      <c r="A9" s="692">
        <v>2</v>
      </c>
      <c r="B9" s="48" t="s">
        <v>111</v>
      </c>
      <c r="C9" s="111" t="s">
        <v>112</v>
      </c>
      <c r="D9" s="44"/>
      <c r="E9" s="152"/>
      <c r="F9" s="156"/>
      <c r="G9" s="157"/>
      <c r="H9" s="110"/>
      <c r="I9" s="157"/>
    </row>
    <row r="10" spans="1:9" x14ac:dyDescent="0.2">
      <c r="A10" s="692">
        <v>3</v>
      </c>
      <c r="B10" s="58" t="s">
        <v>80</v>
      </c>
      <c r="C10" s="111" t="s">
        <v>81</v>
      </c>
      <c r="D10" s="44">
        <v>1460</v>
      </c>
      <c r="E10" s="152">
        <v>88</v>
      </c>
      <c r="F10" s="156"/>
      <c r="G10" s="157"/>
      <c r="H10" s="110">
        <v>221</v>
      </c>
      <c r="I10" s="157">
        <v>4650</v>
      </c>
    </row>
    <row r="11" spans="1:9" x14ac:dyDescent="0.2">
      <c r="A11" s="692">
        <v>4</v>
      </c>
      <c r="B11" s="48" t="s">
        <v>113</v>
      </c>
      <c r="C11" s="111" t="s">
        <v>114</v>
      </c>
      <c r="D11" s="44"/>
      <c r="E11" s="152"/>
      <c r="F11" s="156"/>
      <c r="G11" s="157"/>
      <c r="H11" s="110"/>
      <c r="I11" s="157"/>
    </row>
    <row r="12" spans="1:9" x14ac:dyDescent="0.2">
      <c r="A12" s="692">
        <v>5</v>
      </c>
      <c r="B12" s="48" t="s">
        <v>115</v>
      </c>
      <c r="C12" s="111" t="s">
        <v>116</v>
      </c>
      <c r="D12" s="44"/>
      <c r="E12" s="152"/>
      <c r="F12" s="156"/>
      <c r="G12" s="157"/>
      <c r="H12" s="110"/>
      <c r="I12" s="157"/>
    </row>
    <row r="13" spans="1:9" x14ac:dyDescent="0.2">
      <c r="A13" s="692">
        <v>6</v>
      </c>
      <c r="B13" s="58" t="s">
        <v>117</v>
      </c>
      <c r="C13" s="111" t="s">
        <v>118</v>
      </c>
      <c r="D13" s="44"/>
      <c r="E13" s="152"/>
      <c r="F13" s="156"/>
      <c r="G13" s="157"/>
      <c r="H13" s="110"/>
      <c r="I13" s="157"/>
    </row>
    <row r="14" spans="1:9" x14ac:dyDescent="0.2">
      <c r="A14" s="692">
        <v>7</v>
      </c>
      <c r="B14" s="48" t="s">
        <v>20</v>
      </c>
      <c r="C14" s="111" t="s">
        <v>21</v>
      </c>
      <c r="D14" s="44"/>
      <c r="E14" s="152"/>
      <c r="F14" s="156"/>
      <c r="G14" s="157"/>
      <c r="H14" s="110"/>
      <c r="I14" s="157"/>
    </row>
    <row r="15" spans="1:9" x14ac:dyDescent="0.2">
      <c r="A15" s="692">
        <v>8</v>
      </c>
      <c r="B15" s="58" t="s">
        <v>119</v>
      </c>
      <c r="C15" s="111" t="s">
        <v>120</v>
      </c>
      <c r="D15" s="44"/>
      <c r="E15" s="152"/>
      <c r="F15" s="156"/>
      <c r="G15" s="157"/>
      <c r="H15" s="110"/>
      <c r="I15" s="157"/>
    </row>
    <row r="16" spans="1:9" x14ac:dyDescent="0.2">
      <c r="A16" s="692">
        <v>9</v>
      </c>
      <c r="B16" s="58" t="s">
        <v>121</v>
      </c>
      <c r="C16" s="111" t="s">
        <v>122</v>
      </c>
      <c r="D16" s="44"/>
      <c r="E16" s="152"/>
      <c r="F16" s="156"/>
      <c r="G16" s="157"/>
      <c r="H16" s="110"/>
      <c r="I16" s="157"/>
    </row>
    <row r="17" spans="1:9" x14ac:dyDescent="0.2">
      <c r="A17" s="692">
        <v>10</v>
      </c>
      <c r="B17" s="58" t="s">
        <v>123</v>
      </c>
      <c r="C17" s="111" t="s">
        <v>124</v>
      </c>
      <c r="D17" s="44">
        <v>1460</v>
      </c>
      <c r="E17" s="152">
        <v>125</v>
      </c>
      <c r="F17" s="44">
        <v>330</v>
      </c>
      <c r="G17" s="157">
        <v>9900</v>
      </c>
      <c r="H17" s="110"/>
      <c r="I17" s="157"/>
    </row>
    <row r="18" spans="1:9" x14ac:dyDescent="0.2">
      <c r="A18" s="692">
        <v>11</v>
      </c>
      <c r="B18" s="58" t="s">
        <v>125</v>
      </c>
      <c r="C18" s="111" t="s">
        <v>126</v>
      </c>
      <c r="D18" s="44"/>
      <c r="E18" s="152"/>
      <c r="F18" s="156"/>
      <c r="G18" s="157"/>
      <c r="H18" s="110"/>
      <c r="I18" s="157"/>
    </row>
    <row r="19" spans="1:9" x14ac:dyDescent="0.2">
      <c r="A19" s="692">
        <v>12</v>
      </c>
      <c r="B19" s="58" t="s">
        <v>127</v>
      </c>
      <c r="C19" s="111" t="s">
        <v>128</v>
      </c>
      <c r="D19" s="44"/>
      <c r="E19" s="152"/>
      <c r="F19" s="156"/>
      <c r="G19" s="157"/>
      <c r="H19" s="110"/>
      <c r="I19" s="157"/>
    </row>
    <row r="20" spans="1:9" ht="12" customHeight="1" x14ac:dyDescent="0.2">
      <c r="A20" s="692">
        <v>13</v>
      </c>
      <c r="B20" s="691" t="s">
        <v>129</v>
      </c>
      <c r="C20" s="112" t="s">
        <v>130</v>
      </c>
      <c r="D20" s="44"/>
      <c r="E20" s="152"/>
      <c r="F20" s="156"/>
      <c r="G20" s="157"/>
      <c r="H20" s="110"/>
      <c r="I20" s="157"/>
    </row>
    <row r="21" spans="1:9" x14ac:dyDescent="0.2">
      <c r="A21" s="692">
        <v>14</v>
      </c>
      <c r="B21" s="58" t="s">
        <v>131</v>
      </c>
      <c r="C21" s="111" t="s">
        <v>132</v>
      </c>
      <c r="D21" s="44"/>
      <c r="E21" s="152"/>
      <c r="F21" s="156"/>
      <c r="G21" s="157"/>
      <c r="H21" s="110"/>
      <c r="I21" s="157"/>
    </row>
    <row r="22" spans="1:9" x14ac:dyDescent="0.2">
      <c r="A22" s="692">
        <v>15</v>
      </c>
      <c r="B22" s="58" t="s">
        <v>133</v>
      </c>
      <c r="C22" s="111" t="s">
        <v>134</v>
      </c>
      <c r="D22" s="44"/>
      <c r="E22" s="152"/>
      <c r="F22" s="156"/>
      <c r="G22" s="157"/>
      <c r="H22" s="110"/>
      <c r="I22" s="157"/>
    </row>
    <row r="23" spans="1:9" x14ac:dyDescent="0.2">
      <c r="A23" s="692">
        <v>16</v>
      </c>
      <c r="B23" s="58" t="s">
        <v>135</v>
      </c>
      <c r="C23" s="111" t="s">
        <v>136</v>
      </c>
      <c r="D23" s="44"/>
      <c r="E23" s="152"/>
      <c r="F23" s="156"/>
      <c r="G23" s="157"/>
      <c r="H23" s="110"/>
      <c r="I23" s="157"/>
    </row>
    <row r="24" spans="1:9" x14ac:dyDescent="0.2">
      <c r="A24" s="692">
        <v>17</v>
      </c>
      <c r="B24" s="58" t="s">
        <v>30</v>
      </c>
      <c r="C24" s="111" t="s">
        <v>31</v>
      </c>
      <c r="D24" s="44">
        <v>3735</v>
      </c>
      <c r="E24" s="152">
        <v>447</v>
      </c>
      <c r="F24" s="156"/>
      <c r="G24" s="157"/>
      <c r="H24" s="110"/>
      <c r="I24" s="157"/>
    </row>
    <row r="25" spans="1:9" x14ac:dyDescent="0.2">
      <c r="A25" s="692">
        <v>18</v>
      </c>
      <c r="B25" s="48" t="s">
        <v>137</v>
      </c>
      <c r="C25" s="111" t="s">
        <v>138</v>
      </c>
      <c r="D25" s="44"/>
      <c r="E25" s="152"/>
      <c r="F25" s="156"/>
      <c r="G25" s="157"/>
      <c r="H25" s="110"/>
      <c r="I25" s="157"/>
    </row>
    <row r="26" spans="1:9" x14ac:dyDescent="0.2">
      <c r="A26" s="692">
        <v>19</v>
      </c>
      <c r="B26" s="48" t="s">
        <v>139</v>
      </c>
      <c r="C26" s="111" t="s">
        <v>140</v>
      </c>
      <c r="D26" s="44"/>
      <c r="E26" s="152"/>
      <c r="F26" s="156"/>
      <c r="G26" s="157"/>
      <c r="H26" s="110"/>
      <c r="I26" s="157"/>
    </row>
    <row r="27" spans="1:9" x14ac:dyDescent="0.2">
      <c r="A27" s="692">
        <v>20</v>
      </c>
      <c r="B27" s="48" t="s">
        <v>84</v>
      </c>
      <c r="C27" s="111" t="s">
        <v>85</v>
      </c>
      <c r="D27" s="44">
        <v>1485</v>
      </c>
      <c r="E27" s="152">
        <v>125</v>
      </c>
      <c r="F27" s="44">
        <v>330</v>
      </c>
      <c r="G27" s="157">
        <v>9900</v>
      </c>
      <c r="H27" s="110"/>
      <c r="I27" s="157"/>
    </row>
    <row r="28" spans="1:9" x14ac:dyDescent="0.2">
      <c r="A28" s="692">
        <v>21</v>
      </c>
      <c r="B28" s="48" t="s">
        <v>141</v>
      </c>
      <c r="C28" s="111" t="s">
        <v>142</v>
      </c>
      <c r="D28" s="44">
        <v>1459</v>
      </c>
      <c r="E28" s="152">
        <v>88</v>
      </c>
      <c r="F28" s="158">
        <v>286</v>
      </c>
      <c r="G28" s="157">
        <v>8580</v>
      </c>
      <c r="H28" s="110"/>
      <c r="I28" s="157"/>
    </row>
    <row r="29" spans="1:9" x14ac:dyDescent="0.2">
      <c r="A29" s="692">
        <v>22</v>
      </c>
      <c r="B29" s="58" t="s">
        <v>143</v>
      </c>
      <c r="C29" s="111" t="s">
        <v>144</v>
      </c>
      <c r="D29" s="44"/>
      <c r="E29" s="152"/>
      <c r="F29" s="156"/>
      <c r="G29" s="157"/>
      <c r="H29" s="110"/>
      <c r="I29" s="157"/>
    </row>
    <row r="30" spans="1:9" x14ac:dyDescent="0.2">
      <c r="A30" s="692">
        <v>23</v>
      </c>
      <c r="B30" s="58" t="s">
        <v>145</v>
      </c>
      <c r="C30" s="111" t="s">
        <v>146</v>
      </c>
      <c r="D30" s="44"/>
      <c r="E30" s="152"/>
      <c r="F30" s="156"/>
      <c r="G30" s="157"/>
      <c r="H30" s="110"/>
      <c r="I30" s="157"/>
    </row>
    <row r="31" spans="1:9" ht="25.5" x14ac:dyDescent="0.2">
      <c r="A31" s="692">
        <v>24</v>
      </c>
      <c r="B31" s="58" t="s">
        <v>147</v>
      </c>
      <c r="C31" s="111" t="s">
        <v>148</v>
      </c>
      <c r="D31" s="44"/>
      <c r="E31" s="152"/>
      <c r="F31" s="156"/>
      <c r="G31" s="157"/>
      <c r="H31" s="110"/>
      <c r="I31" s="157"/>
    </row>
    <row r="32" spans="1:9" x14ac:dyDescent="0.2">
      <c r="A32" s="692">
        <v>25</v>
      </c>
      <c r="B32" s="48" t="s">
        <v>149</v>
      </c>
      <c r="C32" s="111" t="s">
        <v>150</v>
      </c>
      <c r="D32" s="44">
        <v>1459</v>
      </c>
      <c r="E32" s="152">
        <v>125</v>
      </c>
      <c r="F32" s="44">
        <v>495</v>
      </c>
      <c r="G32" s="157">
        <v>14850</v>
      </c>
      <c r="H32" s="110">
        <v>221</v>
      </c>
      <c r="I32" s="157">
        <v>4650</v>
      </c>
    </row>
    <row r="33" spans="1:9" x14ac:dyDescent="0.2">
      <c r="A33" s="692">
        <v>26</v>
      </c>
      <c r="B33" s="58" t="s">
        <v>151</v>
      </c>
      <c r="C33" s="111" t="s">
        <v>152</v>
      </c>
      <c r="D33" s="44"/>
      <c r="E33" s="152"/>
      <c r="F33" s="156"/>
      <c r="G33" s="157"/>
      <c r="H33" s="110"/>
      <c r="I33" s="157"/>
    </row>
    <row r="34" spans="1:9" x14ac:dyDescent="0.2">
      <c r="A34" s="692">
        <v>27</v>
      </c>
      <c r="B34" s="48" t="s">
        <v>153</v>
      </c>
      <c r="C34" s="111" t="s">
        <v>154</v>
      </c>
      <c r="D34" s="44"/>
      <c r="E34" s="152"/>
      <c r="F34" s="156"/>
      <c r="G34" s="157"/>
      <c r="H34" s="110"/>
      <c r="I34" s="157"/>
    </row>
    <row r="35" spans="1:9" ht="14.25" customHeight="1" x14ac:dyDescent="0.2">
      <c r="A35" s="692">
        <v>28</v>
      </c>
      <c r="B35" s="48" t="s">
        <v>155</v>
      </c>
      <c r="C35" s="172" t="s">
        <v>156</v>
      </c>
      <c r="D35" s="44"/>
      <c r="E35" s="152"/>
      <c r="F35" s="156"/>
      <c r="G35" s="157"/>
      <c r="H35" s="110"/>
      <c r="I35" s="157"/>
    </row>
    <row r="36" spans="1:9" x14ac:dyDescent="0.2">
      <c r="A36" s="692">
        <v>29</v>
      </c>
      <c r="B36" s="58" t="s">
        <v>157</v>
      </c>
      <c r="C36" s="111" t="s">
        <v>158</v>
      </c>
      <c r="D36" s="44">
        <v>1485</v>
      </c>
      <c r="E36" s="152">
        <v>125</v>
      </c>
      <c r="F36" s="44">
        <v>165</v>
      </c>
      <c r="G36" s="157">
        <v>4950</v>
      </c>
      <c r="H36" s="110">
        <v>221</v>
      </c>
      <c r="I36" s="157">
        <v>4650</v>
      </c>
    </row>
    <row r="37" spans="1:9" x14ac:dyDescent="0.2">
      <c r="A37" s="692">
        <v>30</v>
      </c>
      <c r="B37" s="48" t="s">
        <v>46</v>
      </c>
      <c r="C37" s="111" t="s">
        <v>47</v>
      </c>
      <c r="D37" s="44"/>
      <c r="E37" s="152"/>
      <c r="F37" s="156"/>
      <c r="G37" s="157"/>
      <c r="H37" s="110"/>
      <c r="I37" s="157"/>
    </row>
    <row r="38" spans="1:9" x14ac:dyDescent="0.2">
      <c r="A38" s="692">
        <v>31</v>
      </c>
      <c r="B38" s="48" t="s">
        <v>159</v>
      </c>
      <c r="C38" s="111" t="s">
        <v>160</v>
      </c>
      <c r="D38" s="44"/>
      <c r="E38" s="152"/>
      <c r="F38" s="156"/>
      <c r="G38" s="157"/>
      <c r="H38" s="110"/>
      <c r="I38" s="157"/>
    </row>
    <row r="39" spans="1:9" x14ac:dyDescent="0.2">
      <c r="A39" s="692">
        <v>32</v>
      </c>
      <c r="B39" s="48" t="s">
        <v>58</v>
      </c>
      <c r="C39" s="111" t="s">
        <v>59</v>
      </c>
      <c r="D39" s="44"/>
      <c r="E39" s="152"/>
      <c r="F39" s="156"/>
      <c r="G39" s="157"/>
      <c r="H39" s="110"/>
      <c r="I39" s="157"/>
    </row>
    <row r="40" spans="1:9" x14ac:dyDescent="0.2">
      <c r="A40" s="692">
        <v>33</v>
      </c>
      <c r="B40" s="48" t="s">
        <v>161</v>
      </c>
      <c r="C40" s="111" t="s">
        <v>162</v>
      </c>
      <c r="D40" s="44"/>
      <c r="E40" s="152"/>
      <c r="F40" s="156"/>
      <c r="G40" s="157"/>
      <c r="H40" s="110"/>
      <c r="I40" s="157"/>
    </row>
    <row r="41" spans="1:9" x14ac:dyDescent="0.2">
      <c r="A41" s="692">
        <v>34</v>
      </c>
      <c r="B41" s="58" t="s">
        <v>82</v>
      </c>
      <c r="C41" s="111" t="s">
        <v>83</v>
      </c>
      <c r="D41" s="44">
        <v>1460</v>
      </c>
      <c r="E41" s="152">
        <v>125</v>
      </c>
      <c r="F41" s="44">
        <v>330</v>
      </c>
      <c r="G41" s="157">
        <v>9900</v>
      </c>
      <c r="H41" s="110"/>
      <c r="I41" s="157"/>
    </row>
    <row r="42" spans="1:9" x14ac:dyDescent="0.2">
      <c r="A42" s="692">
        <v>35</v>
      </c>
      <c r="B42" s="48" t="s">
        <v>163</v>
      </c>
      <c r="C42" s="111" t="s">
        <v>164</v>
      </c>
      <c r="D42" s="44">
        <v>1459</v>
      </c>
      <c r="E42" s="152">
        <v>88</v>
      </c>
      <c r="F42" s="156"/>
      <c r="G42" s="157"/>
      <c r="H42" s="110">
        <v>148</v>
      </c>
      <c r="I42" s="157">
        <v>3100</v>
      </c>
    </row>
    <row r="43" spans="1:9" x14ac:dyDescent="0.2">
      <c r="A43" s="692">
        <v>36</v>
      </c>
      <c r="B43" s="48" t="s">
        <v>165</v>
      </c>
      <c r="C43" s="111" t="s">
        <v>166</v>
      </c>
      <c r="D43" s="44"/>
      <c r="E43" s="152"/>
      <c r="F43" s="156"/>
      <c r="G43" s="157"/>
      <c r="H43" s="110"/>
      <c r="I43" s="157"/>
    </row>
    <row r="44" spans="1:9" x14ac:dyDescent="0.2">
      <c r="A44" s="692">
        <v>37</v>
      </c>
      <c r="B44" s="134" t="s">
        <v>86</v>
      </c>
      <c r="C44" s="113" t="s">
        <v>87</v>
      </c>
      <c r="D44" s="44"/>
      <c r="E44" s="152"/>
      <c r="F44" s="156"/>
      <c r="G44" s="157"/>
      <c r="H44" s="110"/>
      <c r="I44" s="157"/>
    </row>
    <row r="45" spans="1:9" x14ac:dyDescent="0.2">
      <c r="A45" s="692">
        <v>38</v>
      </c>
      <c r="B45" s="48" t="s">
        <v>167</v>
      </c>
      <c r="C45" s="111" t="s">
        <v>168</v>
      </c>
      <c r="D45" s="44"/>
      <c r="E45" s="152"/>
      <c r="F45" s="156"/>
      <c r="G45" s="157"/>
      <c r="H45" s="110"/>
      <c r="I45" s="157"/>
    </row>
    <row r="46" spans="1:9" x14ac:dyDescent="0.2">
      <c r="A46" s="692">
        <v>39</v>
      </c>
      <c r="B46" s="48" t="s">
        <v>169</v>
      </c>
      <c r="C46" s="111" t="s">
        <v>170</v>
      </c>
      <c r="D46" s="44"/>
      <c r="E46" s="152"/>
      <c r="F46" s="156"/>
      <c r="G46" s="157"/>
      <c r="H46" s="110"/>
      <c r="I46" s="157"/>
    </row>
    <row r="47" spans="1:9" x14ac:dyDescent="0.2">
      <c r="A47" s="692">
        <v>40</v>
      </c>
      <c r="B47" s="58" t="s">
        <v>171</v>
      </c>
      <c r="C47" s="111" t="s">
        <v>172</v>
      </c>
      <c r="D47" s="44"/>
      <c r="E47" s="152"/>
      <c r="F47" s="156"/>
      <c r="G47" s="157"/>
      <c r="H47" s="110"/>
      <c r="I47" s="157"/>
    </row>
    <row r="48" spans="1:9" x14ac:dyDescent="0.2">
      <c r="A48" s="692">
        <v>41</v>
      </c>
      <c r="B48" s="48" t="s">
        <v>78</v>
      </c>
      <c r="C48" s="111" t="s">
        <v>79</v>
      </c>
      <c r="D48" s="44">
        <v>1459</v>
      </c>
      <c r="E48" s="152">
        <v>88</v>
      </c>
      <c r="F48" s="156"/>
      <c r="G48" s="157"/>
      <c r="H48" s="110">
        <v>148</v>
      </c>
      <c r="I48" s="157">
        <v>3100</v>
      </c>
    </row>
    <row r="49" spans="1:9" x14ac:dyDescent="0.2">
      <c r="A49" s="692">
        <v>42</v>
      </c>
      <c r="B49" s="58" t="s">
        <v>173</v>
      </c>
      <c r="C49" s="111" t="s">
        <v>174</v>
      </c>
      <c r="D49" s="44"/>
      <c r="E49" s="152"/>
      <c r="F49" s="156"/>
      <c r="G49" s="157"/>
      <c r="H49" s="110"/>
      <c r="I49" s="157"/>
    </row>
    <row r="50" spans="1:9" x14ac:dyDescent="0.2">
      <c r="A50" s="692">
        <v>43</v>
      </c>
      <c r="B50" s="48" t="s">
        <v>175</v>
      </c>
      <c r="C50" s="111" t="s">
        <v>176</v>
      </c>
      <c r="D50" s="44"/>
      <c r="E50" s="152"/>
      <c r="F50" s="156"/>
      <c r="G50" s="157"/>
      <c r="H50" s="110"/>
      <c r="I50" s="157"/>
    </row>
    <row r="51" spans="1:9" x14ac:dyDescent="0.2">
      <c r="A51" s="692">
        <v>44</v>
      </c>
      <c r="B51" s="48" t="s">
        <v>42</v>
      </c>
      <c r="C51" s="111" t="s">
        <v>43</v>
      </c>
      <c r="D51" s="44">
        <v>1460</v>
      </c>
      <c r="E51" s="152">
        <v>125</v>
      </c>
      <c r="F51" s="44">
        <v>330</v>
      </c>
      <c r="G51" s="157">
        <v>9900</v>
      </c>
      <c r="H51" s="110"/>
      <c r="I51" s="157"/>
    </row>
    <row r="52" spans="1:9" x14ac:dyDescent="0.2">
      <c r="A52" s="692">
        <v>45</v>
      </c>
      <c r="B52" s="58" t="s">
        <v>177</v>
      </c>
      <c r="C52" s="111" t="s">
        <v>178</v>
      </c>
      <c r="D52" s="44"/>
      <c r="E52" s="152"/>
      <c r="F52" s="156"/>
      <c r="G52" s="157"/>
      <c r="H52" s="110"/>
      <c r="I52" s="157"/>
    </row>
    <row r="53" spans="1:9" x14ac:dyDescent="0.2">
      <c r="A53" s="692">
        <v>46</v>
      </c>
      <c r="B53" s="58" t="s">
        <v>179</v>
      </c>
      <c r="C53" s="111" t="s">
        <v>180</v>
      </c>
      <c r="D53" s="44"/>
      <c r="E53" s="152"/>
      <c r="F53" s="156"/>
      <c r="G53" s="157"/>
      <c r="H53" s="110"/>
      <c r="I53" s="157"/>
    </row>
    <row r="54" spans="1:9" x14ac:dyDescent="0.2">
      <c r="A54" s="692">
        <v>47</v>
      </c>
      <c r="B54" s="48" t="s">
        <v>181</v>
      </c>
      <c r="C54" s="111" t="s">
        <v>182</v>
      </c>
      <c r="D54" s="44"/>
      <c r="E54" s="152"/>
      <c r="F54" s="156"/>
      <c r="G54" s="157"/>
      <c r="H54" s="110"/>
      <c r="I54" s="157"/>
    </row>
    <row r="55" spans="1:9" x14ac:dyDescent="0.2">
      <c r="A55" s="692">
        <v>48</v>
      </c>
      <c r="B55" s="58" t="s">
        <v>183</v>
      </c>
      <c r="C55" s="111" t="s">
        <v>184</v>
      </c>
      <c r="D55" s="44"/>
      <c r="E55" s="152"/>
      <c r="F55" s="156"/>
      <c r="G55" s="157"/>
      <c r="H55" s="110"/>
      <c r="I55" s="157"/>
    </row>
    <row r="56" spans="1:9" x14ac:dyDescent="0.2">
      <c r="A56" s="692">
        <v>49</v>
      </c>
      <c r="B56" s="48" t="s">
        <v>185</v>
      </c>
      <c r="C56" s="111" t="s">
        <v>186</v>
      </c>
      <c r="D56" s="44"/>
      <c r="E56" s="152"/>
      <c r="F56" s="156"/>
      <c r="G56" s="157"/>
      <c r="H56" s="110"/>
      <c r="I56" s="157"/>
    </row>
    <row r="57" spans="1:9" x14ac:dyDescent="0.2">
      <c r="A57" s="692">
        <v>50</v>
      </c>
      <c r="B57" s="58" t="s">
        <v>187</v>
      </c>
      <c r="C57" s="111" t="s">
        <v>188</v>
      </c>
      <c r="D57" s="44"/>
      <c r="E57" s="152"/>
      <c r="F57" s="156"/>
      <c r="G57" s="157"/>
      <c r="H57" s="110"/>
      <c r="I57" s="157"/>
    </row>
    <row r="58" spans="1:9" x14ac:dyDescent="0.2">
      <c r="A58" s="692">
        <v>51</v>
      </c>
      <c r="B58" s="58" t="s">
        <v>189</v>
      </c>
      <c r="C58" s="111" t="s">
        <v>190</v>
      </c>
      <c r="D58" s="44"/>
      <c r="E58" s="152"/>
      <c r="F58" s="156"/>
      <c r="G58" s="157"/>
      <c r="H58" s="110"/>
      <c r="I58" s="157"/>
    </row>
    <row r="59" spans="1:9" x14ac:dyDescent="0.2">
      <c r="A59" s="692">
        <v>52</v>
      </c>
      <c r="B59" s="691" t="s">
        <v>191</v>
      </c>
      <c r="C59" s="112" t="s">
        <v>192</v>
      </c>
      <c r="D59" s="44"/>
      <c r="E59" s="152"/>
      <c r="F59" s="156"/>
      <c r="G59" s="157"/>
      <c r="H59" s="110"/>
      <c r="I59" s="157"/>
    </row>
    <row r="60" spans="1:9" ht="17.25" customHeight="1" x14ac:dyDescent="0.2">
      <c r="A60" s="692">
        <v>53</v>
      </c>
      <c r="B60" s="58" t="s">
        <v>22</v>
      </c>
      <c r="C60" s="111" t="s">
        <v>23</v>
      </c>
      <c r="D60" s="44"/>
      <c r="E60" s="152"/>
      <c r="F60" s="156"/>
      <c r="G60" s="157"/>
      <c r="H60" s="110"/>
      <c r="I60" s="157"/>
    </row>
    <row r="61" spans="1:9" ht="17.25" customHeight="1" x14ac:dyDescent="0.2">
      <c r="A61" s="692">
        <v>54</v>
      </c>
      <c r="B61" s="58" t="s">
        <v>24</v>
      </c>
      <c r="C61" s="111" t="s">
        <v>25</v>
      </c>
      <c r="D61" s="44"/>
      <c r="E61" s="152"/>
      <c r="F61" s="156"/>
      <c r="G61" s="157"/>
      <c r="H61" s="110"/>
      <c r="I61" s="157"/>
    </row>
    <row r="62" spans="1:9" ht="17.25" customHeight="1" x14ac:dyDescent="0.2">
      <c r="A62" s="692">
        <v>55</v>
      </c>
      <c r="B62" s="58" t="s">
        <v>193</v>
      </c>
      <c r="C62" s="111" t="s">
        <v>194</v>
      </c>
      <c r="D62" s="44"/>
      <c r="E62" s="152"/>
      <c r="F62" s="156"/>
      <c r="G62" s="157"/>
      <c r="H62" s="110"/>
      <c r="I62" s="157"/>
    </row>
    <row r="63" spans="1:9" ht="17.25" customHeight="1" x14ac:dyDescent="0.2">
      <c r="A63" s="692">
        <v>56</v>
      </c>
      <c r="B63" s="48" t="s">
        <v>26</v>
      </c>
      <c r="C63" s="111" t="s">
        <v>27</v>
      </c>
      <c r="D63" s="44"/>
      <c r="E63" s="152"/>
      <c r="F63" s="156"/>
      <c r="G63" s="157"/>
      <c r="H63" s="110"/>
      <c r="I63" s="157"/>
    </row>
    <row r="64" spans="1:9" ht="17.25" customHeight="1" x14ac:dyDescent="0.2">
      <c r="A64" s="692">
        <v>57</v>
      </c>
      <c r="B64" s="48" t="s">
        <v>28</v>
      </c>
      <c r="C64" s="111" t="s">
        <v>29</v>
      </c>
      <c r="D64" s="44"/>
      <c r="E64" s="152"/>
      <c r="F64" s="156"/>
      <c r="G64" s="157"/>
      <c r="H64" s="110"/>
      <c r="I64" s="157"/>
    </row>
    <row r="65" spans="1:9" ht="25.5" x14ac:dyDescent="0.2">
      <c r="A65" s="692">
        <v>58</v>
      </c>
      <c r="B65" s="48" t="s">
        <v>196</v>
      </c>
      <c r="C65" s="111" t="s">
        <v>197</v>
      </c>
      <c r="D65" s="44"/>
      <c r="E65" s="152"/>
      <c r="F65" s="156"/>
      <c r="G65" s="157"/>
      <c r="H65" s="110"/>
      <c r="I65" s="157"/>
    </row>
    <row r="66" spans="1:9" ht="25.5" x14ac:dyDescent="0.2">
      <c r="A66" s="692">
        <v>59</v>
      </c>
      <c r="B66" s="58" t="s">
        <v>198</v>
      </c>
      <c r="C66" s="111" t="s">
        <v>199</v>
      </c>
      <c r="D66" s="44"/>
      <c r="E66" s="152"/>
      <c r="F66" s="156"/>
      <c r="G66" s="157"/>
      <c r="H66" s="110"/>
      <c r="I66" s="157"/>
    </row>
    <row r="67" spans="1:9" x14ac:dyDescent="0.2">
      <c r="A67" s="692">
        <v>60</v>
      </c>
      <c r="B67" s="48" t="s">
        <v>62</v>
      </c>
      <c r="C67" s="111" t="s">
        <v>200</v>
      </c>
      <c r="D67" s="44"/>
      <c r="E67" s="152"/>
      <c r="F67" s="156"/>
      <c r="G67" s="157"/>
      <c r="H67" s="110"/>
      <c r="I67" s="157"/>
    </row>
    <row r="68" spans="1:9" x14ac:dyDescent="0.2">
      <c r="A68" s="692">
        <v>61</v>
      </c>
      <c r="B68" s="48" t="s">
        <v>64</v>
      </c>
      <c r="C68" s="111" t="s">
        <v>201</v>
      </c>
      <c r="D68" s="44"/>
      <c r="E68" s="152"/>
      <c r="F68" s="156"/>
      <c r="G68" s="157"/>
      <c r="H68" s="110"/>
      <c r="I68" s="157"/>
    </row>
    <row r="69" spans="1:9" x14ac:dyDescent="0.2">
      <c r="A69" s="692">
        <v>62</v>
      </c>
      <c r="B69" s="48" t="s">
        <v>66</v>
      </c>
      <c r="C69" s="111" t="s">
        <v>202</v>
      </c>
      <c r="D69" s="44"/>
      <c r="E69" s="152"/>
      <c r="F69" s="156"/>
      <c r="G69" s="157"/>
      <c r="H69" s="110"/>
      <c r="I69" s="157"/>
    </row>
    <row r="70" spans="1:9" ht="25.5" x14ac:dyDescent="0.2">
      <c r="A70" s="692">
        <v>63</v>
      </c>
      <c r="B70" s="48" t="s">
        <v>203</v>
      </c>
      <c r="C70" s="111" t="s">
        <v>204</v>
      </c>
      <c r="D70" s="44"/>
      <c r="E70" s="152"/>
      <c r="F70" s="156"/>
      <c r="G70" s="157"/>
      <c r="H70" s="110"/>
      <c r="I70" s="157"/>
    </row>
    <row r="71" spans="1:9" ht="25.5" x14ac:dyDescent="0.2">
      <c r="A71" s="692">
        <v>64</v>
      </c>
      <c r="B71" s="48" t="s">
        <v>205</v>
      </c>
      <c r="C71" s="111" t="s">
        <v>206</v>
      </c>
      <c r="D71" s="44"/>
      <c r="E71" s="152"/>
      <c r="F71" s="156"/>
      <c r="G71" s="157"/>
      <c r="H71" s="110"/>
      <c r="I71" s="157"/>
    </row>
    <row r="72" spans="1:9" ht="25.5" x14ac:dyDescent="0.2">
      <c r="A72" s="692">
        <v>65</v>
      </c>
      <c r="B72" s="48" t="s">
        <v>207</v>
      </c>
      <c r="C72" s="111" t="s">
        <v>208</v>
      </c>
      <c r="D72" s="44"/>
      <c r="E72" s="152"/>
      <c r="F72" s="156"/>
      <c r="G72" s="157"/>
      <c r="H72" s="110"/>
      <c r="I72" s="157"/>
    </row>
    <row r="73" spans="1:9" ht="25.5" x14ac:dyDescent="0.2">
      <c r="A73" s="692">
        <v>66</v>
      </c>
      <c r="B73" s="48" t="s">
        <v>209</v>
      </c>
      <c r="C73" s="111" t="s">
        <v>210</v>
      </c>
      <c r="D73" s="44"/>
      <c r="E73" s="152"/>
      <c r="F73" s="156"/>
      <c r="G73" s="157"/>
      <c r="H73" s="110"/>
      <c r="I73" s="157"/>
    </row>
    <row r="74" spans="1:9" ht="25.5" x14ac:dyDescent="0.2">
      <c r="A74" s="692">
        <v>67</v>
      </c>
      <c r="B74" s="58" t="s">
        <v>211</v>
      </c>
      <c r="C74" s="111" t="s">
        <v>212</v>
      </c>
      <c r="D74" s="44"/>
      <c r="E74" s="152"/>
      <c r="F74" s="156"/>
      <c r="G74" s="157"/>
      <c r="H74" s="110"/>
      <c r="I74" s="157"/>
    </row>
    <row r="75" spans="1:9" ht="25.5" x14ac:dyDescent="0.2">
      <c r="A75" s="692">
        <v>68</v>
      </c>
      <c r="B75" s="48" t="s">
        <v>213</v>
      </c>
      <c r="C75" s="111" t="s">
        <v>214</v>
      </c>
      <c r="D75" s="44"/>
      <c r="E75" s="152"/>
      <c r="F75" s="156"/>
      <c r="G75" s="157"/>
      <c r="H75" s="110"/>
      <c r="I75" s="157"/>
    </row>
    <row r="76" spans="1:9" ht="25.5" x14ac:dyDescent="0.2">
      <c r="A76" s="692">
        <v>69</v>
      </c>
      <c r="B76" s="58" t="s">
        <v>215</v>
      </c>
      <c r="C76" s="111" t="s">
        <v>216</v>
      </c>
      <c r="D76" s="44"/>
      <c r="E76" s="152"/>
      <c r="F76" s="156"/>
      <c r="G76" s="157"/>
      <c r="H76" s="110"/>
      <c r="I76" s="157"/>
    </row>
    <row r="77" spans="1:9" x14ac:dyDescent="0.2">
      <c r="A77" s="692">
        <v>70</v>
      </c>
      <c r="B77" s="48" t="s">
        <v>217</v>
      </c>
      <c r="C77" s="111" t="s">
        <v>218</v>
      </c>
      <c r="D77" s="44"/>
      <c r="E77" s="152"/>
      <c r="F77" s="156"/>
      <c r="G77" s="157"/>
      <c r="H77" s="110"/>
      <c r="I77" s="157"/>
    </row>
    <row r="78" spans="1:9" x14ac:dyDescent="0.2">
      <c r="A78" s="692">
        <v>71</v>
      </c>
      <c r="B78" s="58" t="s">
        <v>50</v>
      </c>
      <c r="C78" s="111" t="s">
        <v>219</v>
      </c>
      <c r="D78" s="44"/>
      <c r="E78" s="152"/>
      <c r="F78" s="156"/>
      <c r="G78" s="157"/>
      <c r="H78" s="110"/>
      <c r="I78" s="157"/>
    </row>
    <row r="79" spans="1:9" x14ac:dyDescent="0.2">
      <c r="A79" s="692">
        <v>72</v>
      </c>
      <c r="B79" s="58" t="s">
        <v>52</v>
      </c>
      <c r="C79" s="111" t="s">
        <v>220</v>
      </c>
      <c r="D79" s="44"/>
      <c r="E79" s="152"/>
      <c r="F79" s="156"/>
      <c r="G79" s="157"/>
      <c r="H79" s="110"/>
      <c r="I79" s="157"/>
    </row>
    <row r="80" spans="1:9" x14ac:dyDescent="0.2">
      <c r="A80" s="692">
        <v>73</v>
      </c>
      <c r="B80" s="48" t="s">
        <v>44</v>
      </c>
      <c r="C80" s="111" t="s">
        <v>221</v>
      </c>
      <c r="D80" s="44"/>
      <c r="E80" s="152"/>
      <c r="F80" s="156"/>
      <c r="G80" s="157"/>
      <c r="H80" s="110"/>
      <c r="I80" s="157"/>
    </row>
    <row r="81" spans="1:9" x14ac:dyDescent="0.2">
      <c r="A81" s="692">
        <v>74</v>
      </c>
      <c r="B81" s="48" t="s">
        <v>54</v>
      </c>
      <c r="C81" s="111" t="s">
        <v>222</v>
      </c>
      <c r="D81" s="44"/>
      <c r="E81" s="152"/>
      <c r="F81" s="156"/>
      <c r="G81" s="157"/>
      <c r="H81" s="110"/>
      <c r="I81" s="157"/>
    </row>
    <row r="82" spans="1:9" x14ac:dyDescent="0.2">
      <c r="A82" s="692">
        <v>75</v>
      </c>
      <c r="B82" s="48" t="s">
        <v>36</v>
      </c>
      <c r="C82" s="111" t="s">
        <v>37</v>
      </c>
      <c r="D82" s="44"/>
      <c r="E82" s="152"/>
      <c r="F82" s="156"/>
      <c r="G82" s="157"/>
      <c r="H82" s="110"/>
      <c r="I82" s="157"/>
    </row>
    <row r="83" spans="1:9" x14ac:dyDescent="0.2">
      <c r="A83" s="692">
        <v>76</v>
      </c>
      <c r="B83" s="48" t="s">
        <v>48</v>
      </c>
      <c r="C83" s="111" t="s">
        <v>223</v>
      </c>
      <c r="D83" s="44"/>
      <c r="E83" s="152"/>
      <c r="F83" s="156"/>
      <c r="G83" s="157"/>
      <c r="H83" s="110"/>
      <c r="I83" s="157"/>
    </row>
    <row r="84" spans="1:9" x14ac:dyDescent="0.2">
      <c r="A84" s="692">
        <v>77</v>
      </c>
      <c r="B84" s="48" t="s">
        <v>224</v>
      </c>
      <c r="C84" s="167" t="s">
        <v>225</v>
      </c>
      <c r="D84" s="44"/>
      <c r="E84" s="152"/>
      <c r="F84" s="156"/>
      <c r="G84" s="157"/>
      <c r="H84" s="110"/>
      <c r="I84" s="157"/>
    </row>
    <row r="85" spans="1:9" x14ac:dyDescent="0.2">
      <c r="A85" s="692">
        <v>78</v>
      </c>
      <c r="B85" s="52" t="s">
        <v>226</v>
      </c>
      <c r="C85" s="167" t="s">
        <v>227</v>
      </c>
      <c r="D85" s="44"/>
      <c r="E85" s="152"/>
      <c r="F85" s="156"/>
      <c r="G85" s="157"/>
      <c r="H85" s="110"/>
      <c r="I85" s="157"/>
    </row>
    <row r="86" spans="1:9" ht="25.5" x14ac:dyDescent="0.2">
      <c r="A86" s="1215">
        <v>79</v>
      </c>
      <c r="B86" s="1246" t="s">
        <v>228</v>
      </c>
      <c r="C86" s="168" t="s">
        <v>229</v>
      </c>
      <c r="D86" s="44"/>
      <c r="E86" s="152"/>
      <c r="F86" s="156"/>
      <c r="G86" s="157"/>
      <c r="H86" s="110"/>
      <c r="I86" s="157"/>
    </row>
    <row r="87" spans="1:9" ht="38.25" x14ac:dyDescent="0.2">
      <c r="A87" s="1215"/>
      <c r="B87" s="1246"/>
      <c r="C87" s="167" t="s">
        <v>230</v>
      </c>
      <c r="D87" s="44"/>
      <c r="E87" s="152"/>
      <c r="F87" s="156"/>
      <c r="G87" s="157"/>
      <c r="H87" s="110"/>
      <c r="I87" s="157"/>
    </row>
    <row r="88" spans="1:9" ht="25.5" x14ac:dyDescent="0.2">
      <c r="A88" s="1215"/>
      <c r="B88" s="1246"/>
      <c r="C88" s="167" t="s">
        <v>231</v>
      </c>
      <c r="D88" s="44"/>
      <c r="E88" s="152"/>
      <c r="F88" s="156"/>
      <c r="G88" s="157"/>
      <c r="H88" s="110"/>
      <c r="I88" s="157"/>
    </row>
    <row r="89" spans="1:9" ht="38.25" x14ac:dyDescent="0.2">
      <c r="A89" s="1215"/>
      <c r="B89" s="1246"/>
      <c r="C89" s="173" t="s">
        <v>232</v>
      </c>
      <c r="D89" s="44"/>
      <c r="E89" s="152"/>
      <c r="F89" s="156"/>
      <c r="G89" s="157"/>
      <c r="H89" s="110"/>
      <c r="I89" s="157"/>
    </row>
    <row r="90" spans="1:9" ht="25.5" x14ac:dyDescent="0.2">
      <c r="A90" s="692">
        <v>80</v>
      </c>
      <c r="B90" s="58" t="s">
        <v>233</v>
      </c>
      <c r="C90" s="111" t="s">
        <v>234</v>
      </c>
      <c r="D90" s="44"/>
      <c r="E90" s="152"/>
      <c r="F90" s="156"/>
      <c r="G90" s="157"/>
      <c r="H90" s="110"/>
      <c r="I90" s="157"/>
    </row>
    <row r="91" spans="1:9" x14ac:dyDescent="0.2">
      <c r="A91" s="692">
        <v>81</v>
      </c>
      <c r="B91" s="48" t="s">
        <v>235</v>
      </c>
      <c r="C91" s="111" t="s">
        <v>236</v>
      </c>
      <c r="D91" s="44"/>
      <c r="E91" s="152"/>
      <c r="F91" s="156"/>
      <c r="G91" s="157"/>
      <c r="H91" s="110"/>
      <c r="I91" s="157"/>
    </row>
    <row r="92" spans="1:9" x14ac:dyDescent="0.2">
      <c r="A92" s="692">
        <v>82</v>
      </c>
      <c r="B92" s="58" t="s">
        <v>74</v>
      </c>
      <c r="C92" s="111" t="s">
        <v>237</v>
      </c>
      <c r="D92" s="44"/>
      <c r="E92" s="152"/>
      <c r="F92" s="156"/>
      <c r="G92" s="157"/>
      <c r="H92" s="110"/>
      <c r="I92" s="157"/>
    </row>
    <row r="93" spans="1:9" x14ac:dyDescent="0.2">
      <c r="A93" s="692">
        <v>83</v>
      </c>
      <c r="B93" s="48" t="s">
        <v>38</v>
      </c>
      <c r="C93" s="111" t="s">
        <v>39</v>
      </c>
      <c r="D93" s="44">
        <v>1459</v>
      </c>
      <c r="E93" s="152">
        <v>88</v>
      </c>
      <c r="F93" s="158">
        <v>165</v>
      </c>
      <c r="G93" s="157">
        <v>4950</v>
      </c>
      <c r="H93" s="110"/>
      <c r="I93" s="157"/>
    </row>
    <row r="94" spans="1:9" x14ac:dyDescent="0.2">
      <c r="A94" s="692">
        <v>84</v>
      </c>
      <c r="B94" s="48" t="s">
        <v>40</v>
      </c>
      <c r="C94" s="111" t="s">
        <v>41</v>
      </c>
      <c r="D94" s="44">
        <v>1459</v>
      </c>
      <c r="E94" s="152">
        <v>88</v>
      </c>
      <c r="F94" s="156"/>
      <c r="G94" s="157"/>
      <c r="H94" s="110"/>
      <c r="I94" s="157"/>
    </row>
    <row r="95" spans="1:9" x14ac:dyDescent="0.2">
      <c r="A95" s="692">
        <v>85</v>
      </c>
      <c r="B95" s="48" t="s">
        <v>238</v>
      </c>
      <c r="C95" s="111" t="s">
        <v>239</v>
      </c>
      <c r="D95" s="44"/>
      <c r="E95" s="152"/>
      <c r="F95" s="156"/>
      <c r="G95" s="157"/>
      <c r="H95" s="110"/>
      <c r="I95" s="157"/>
    </row>
    <row r="96" spans="1:9" x14ac:dyDescent="0.2">
      <c r="A96" s="692">
        <v>86</v>
      </c>
      <c r="B96" s="48" t="s">
        <v>240</v>
      </c>
      <c r="C96" s="111" t="s">
        <v>241</v>
      </c>
      <c r="D96" s="44"/>
      <c r="E96" s="152"/>
      <c r="F96" s="156"/>
      <c r="G96" s="157"/>
      <c r="H96" s="110"/>
      <c r="I96" s="157"/>
    </row>
    <row r="97" spans="1:9" x14ac:dyDescent="0.2">
      <c r="A97" s="692">
        <v>87</v>
      </c>
      <c r="B97" s="48" t="s">
        <v>88</v>
      </c>
      <c r="C97" s="111" t="s">
        <v>89</v>
      </c>
      <c r="D97" s="44"/>
      <c r="E97" s="152"/>
      <c r="F97" s="156"/>
      <c r="G97" s="157"/>
      <c r="H97" s="110"/>
      <c r="I97" s="157"/>
    </row>
    <row r="98" spans="1:9" x14ac:dyDescent="0.2">
      <c r="A98" s="692">
        <v>88</v>
      </c>
      <c r="B98" s="48" t="s">
        <v>242</v>
      </c>
      <c r="C98" s="111" t="s">
        <v>243</v>
      </c>
      <c r="D98" s="44"/>
      <c r="E98" s="152"/>
      <c r="F98" s="44"/>
      <c r="G98" s="157"/>
      <c r="H98" s="110"/>
      <c r="I98" s="157"/>
    </row>
    <row r="99" spans="1:9" x14ac:dyDescent="0.2">
      <c r="A99" s="692">
        <v>89</v>
      </c>
      <c r="B99" s="48" t="s">
        <v>244</v>
      </c>
      <c r="C99" s="111" t="s">
        <v>245</v>
      </c>
      <c r="D99" s="44"/>
      <c r="E99" s="152"/>
      <c r="F99" s="44"/>
      <c r="G99" s="157"/>
      <c r="H99" s="110"/>
      <c r="I99" s="157"/>
    </row>
    <row r="100" spans="1:9" x14ac:dyDescent="0.2">
      <c r="A100" s="692">
        <v>90</v>
      </c>
      <c r="B100" s="58" t="s">
        <v>246</v>
      </c>
      <c r="C100" s="111" t="s">
        <v>247</v>
      </c>
      <c r="D100" s="44">
        <v>1460</v>
      </c>
      <c r="E100" s="152">
        <v>110</v>
      </c>
      <c r="F100" s="44">
        <v>330</v>
      </c>
      <c r="G100" s="157">
        <v>9900</v>
      </c>
      <c r="H100" s="110"/>
      <c r="I100" s="157"/>
    </row>
    <row r="101" spans="1:9" x14ac:dyDescent="0.2">
      <c r="A101" s="692">
        <v>91</v>
      </c>
      <c r="B101" s="48" t="s">
        <v>248</v>
      </c>
      <c r="C101" s="111" t="s">
        <v>249</v>
      </c>
      <c r="D101" s="44"/>
      <c r="E101" s="152"/>
      <c r="F101" s="44"/>
      <c r="G101" s="157"/>
      <c r="H101" s="110"/>
      <c r="I101" s="157"/>
    </row>
    <row r="102" spans="1:9" x14ac:dyDescent="0.2">
      <c r="A102" s="692">
        <v>92</v>
      </c>
      <c r="B102" s="48" t="s">
        <v>250</v>
      </c>
      <c r="C102" s="111" t="s">
        <v>251</v>
      </c>
      <c r="D102" s="44"/>
      <c r="E102" s="152"/>
      <c r="F102" s="156"/>
      <c r="G102" s="157"/>
      <c r="H102" s="110"/>
      <c r="I102" s="157"/>
    </row>
    <row r="103" spans="1:9" x14ac:dyDescent="0.2">
      <c r="A103" s="692">
        <v>93</v>
      </c>
      <c r="B103" s="58" t="s">
        <v>32</v>
      </c>
      <c r="C103" s="111" t="s">
        <v>33</v>
      </c>
      <c r="D103" s="44"/>
      <c r="E103" s="152"/>
      <c r="F103" s="156"/>
      <c r="G103" s="157"/>
      <c r="H103" s="110"/>
      <c r="I103" s="157"/>
    </row>
    <row r="104" spans="1:9" x14ac:dyDescent="0.2">
      <c r="A104" s="692">
        <v>94</v>
      </c>
      <c r="B104" s="48" t="s">
        <v>252</v>
      </c>
      <c r="C104" s="111" t="s">
        <v>253</v>
      </c>
      <c r="D104" s="44"/>
      <c r="E104" s="152"/>
      <c r="F104" s="156"/>
      <c r="G104" s="157"/>
      <c r="H104" s="110"/>
      <c r="I104" s="157"/>
    </row>
    <row r="105" spans="1:9" x14ac:dyDescent="0.2">
      <c r="A105" s="692">
        <v>95</v>
      </c>
      <c r="B105" s="58" t="s">
        <v>254</v>
      </c>
      <c r="C105" s="111" t="s">
        <v>255</v>
      </c>
      <c r="D105" s="44">
        <v>1459</v>
      </c>
      <c r="E105" s="152">
        <v>88</v>
      </c>
      <c r="F105" s="156"/>
      <c r="G105" s="157"/>
      <c r="H105" s="110">
        <v>148</v>
      </c>
      <c r="I105" s="157">
        <v>3100</v>
      </c>
    </row>
    <row r="106" spans="1:9" x14ac:dyDescent="0.2">
      <c r="A106" s="692">
        <v>96</v>
      </c>
      <c r="B106" s="58" t="s">
        <v>256</v>
      </c>
      <c r="C106" s="111" t="s">
        <v>257</v>
      </c>
      <c r="D106" s="44"/>
      <c r="E106" s="152"/>
      <c r="F106" s="156"/>
      <c r="G106" s="157"/>
      <c r="H106" s="110"/>
      <c r="I106" s="157"/>
    </row>
    <row r="107" spans="1:9" x14ac:dyDescent="0.2">
      <c r="A107" s="692">
        <v>97</v>
      </c>
      <c r="B107" s="48" t="s">
        <v>76</v>
      </c>
      <c r="C107" s="111" t="s">
        <v>77</v>
      </c>
      <c r="D107" s="44"/>
      <c r="E107" s="152"/>
      <c r="F107" s="156"/>
      <c r="G107" s="157"/>
      <c r="H107" s="110"/>
      <c r="I107" s="157"/>
    </row>
    <row r="108" spans="1:9" x14ac:dyDescent="0.2">
      <c r="A108" s="692">
        <v>98</v>
      </c>
      <c r="B108" s="48" t="s">
        <v>258</v>
      </c>
      <c r="C108" s="111" t="s">
        <v>259</v>
      </c>
      <c r="D108" s="44"/>
      <c r="E108" s="152"/>
      <c r="F108" s="156"/>
      <c r="G108" s="157"/>
      <c r="H108" s="110"/>
      <c r="I108" s="157"/>
    </row>
    <row r="109" spans="1:9" x14ac:dyDescent="0.2">
      <c r="A109" s="692">
        <v>99</v>
      </c>
      <c r="B109" s="48" t="s">
        <v>262</v>
      </c>
      <c r="C109" s="111" t="s">
        <v>263</v>
      </c>
      <c r="D109" s="44"/>
      <c r="E109" s="152"/>
      <c r="F109" s="156"/>
      <c r="G109" s="157"/>
      <c r="H109" s="110"/>
      <c r="I109" s="157"/>
    </row>
    <row r="110" spans="1:9" x14ac:dyDescent="0.2">
      <c r="A110" s="692">
        <v>100</v>
      </c>
      <c r="B110" s="58" t="s">
        <v>264</v>
      </c>
      <c r="C110" s="111" t="s">
        <v>265</v>
      </c>
      <c r="D110" s="44"/>
      <c r="E110" s="152"/>
      <c r="F110" s="156"/>
      <c r="G110" s="157"/>
      <c r="H110" s="110"/>
      <c r="I110" s="157"/>
    </row>
    <row r="111" spans="1:9" x14ac:dyDescent="0.2">
      <c r="A111" s="692">
        <v>101</v>
      </c>
      <c r="B111" s="48" t="s">
        <v>266</v>
      </c>
      <c r="C111" s="111" t="s">
        <v>267</v>
      </c>
      <c r="D111" s="44"/>
      <c r="E111" s="152"/>
      <c r="F111" s="156"/>
      <c r="G111" s="157"/>
      <c r="H111" s="110"/>
      <c r="I111" s="157"/>
    </row>
    <row r="112" spans="1:9" ht="12.75" customHeight="1" x14ac:dyDescent="0.2">
      <c r="A112" s="692">
        <v>102</v>
      </c>
      <c r="B112" s="48" t="s">
        <v>268</v>
      </c>
      <c r="C112" s="111" t="s">
        <v>269</v>
      </c>
      <c r="D112" s="44"/>
      <c r="E112" s="152"/>
      <c r="F112" s="156"/>
      <c r="G112" s="157"/>
      <c r="H112" s="110"/>
      <c r="I112" s="157"/>
    </row>
    <row r="113" spans="1:9" x14ac:dyDescent="0.2">
      <c r="A113" s="692">
        <v>103</v>
      </c>
      <c r="B113" s="48" t="s">
        <v>270</v>
      </c>
      <c r="C113" s="111" t="s">
        <v>271</v>
      </c>
      <c r="D113" s="44"/>
      <c r="E113" s="152"/>
      <c r="F113" s="156"/>
      <c r="G113" s="157"/>
      <c r="H113" s="110"/>
      <c r="I113" s="157"/>
    </row>
    <row r="114" spans="1:9" x14ac:dyDescent="0.2">
      <c r="A114" s="692">
        <v>104</v>
      </c>
      <c r="B114" s="58" t="s">
        <v>272</v>
      </c>
      <c r="C114" s="111" t="s">
        <v>273</v>
      </c>
      <c r="D114" s="44"/>
      <c r="E114" s="152"/>
      <c r="F114" s="156"/>
      <c r="G114" s="157"/>
      <c r="H114" s="110"/>
      <c r="I114" s="157"/>
    </row>
    <row r="115" spans="1:9" x14ac:dyDescent="0.2">
      <c r="A115" s="692">
        <v>105</v>
      </c>
      <c r="B115" s="58" t="s">
        <v>274</v>
      </c>
      <c r="C115" s="111" t="s">
        <v>275</v>
      </c>
      <c r="D115" s="44"/>
      <c r="E115" s="152"/>
      <c r="F115" s="156"/>
      <c r="G115" s="157"/>
      <c r="H115" s="110"/>
      <c r="I115" s="157"/>
    </row>
    <row r="116" spans="1:9" x14ac:dyDescent="0.2">
      <c r="A116" s="692">
        <v>106</v>
      </c>
      <c r="B116" s="48" t="s">
        <v>276</v>
      </c>
      <c r="C116" s="111" t="s">
        <v>277</v>
      </c>
      <c r="D116" s="44"/>
      <c r="E116" s="152"/>
      <c r="F116" s="156"/>
      <c r="G116" s="157"/>
      <c r="H116" s="110"/>
      <c r="I116" s="157"/>
    </row>
    <row r="117" spans="1:9" x14ac:dyDescent="0.2">
      <c r="A117" s="692">
        <v>107</v>
      </c>
      <c r="B117" s="48" t="s">
        <v>278</v>
      </c>
      <c r="C117" s="111" t="s">
        <v>279</v>
      </c>
      <c r="D117" s="44"/>
      <c r="E117" s="152"/>
      <c r="F117" s="156"/>
      <c r="G117" s="157"/>
      <c r="H117" s="110"/>
      <c r="I117" s="157"/>
    </row>
    <row r="118" spans="1:9" x14ac:dyDescent="0.2">
      <c r="A118" s="692">
        <v>108</v>
      </c>
      <c r="B118" s="48" t="s">
        <v>280</v>
      </c>
      <c r="C118" s="111" t="s">
        <v>281</v>
      </c>
      <c r="D118" s="44"/>
      <c r="E118" s="152"/>
      <c r="F118" s="156"/>
      <c r="G118" s="157"/>
      <c r="H118" s="110"/>
      <c r="I118" s="157"/>
    </row>
    <row r="119" spans="1:9" x14ac:dyDescent="0.2">
      <c r="A119" s="692">
        <v>109</v>
      </c>
      <c r="B119" s="691" t="s">
        <v>282</v>
      </c>
      <c r="C119" s="167" t="s">
        <v>283</v>
      </c>
      <c r="D119" s="44"/>
      <c r="E119" s="152"/>
      <c r="F119" s="156"/>
      <c r="G119" s="157"/>
      <c r="H119" s="110"/>
      <c r="I119" s="157"/>
    </row>
    <row r="120" spans="1:9" x14ac:dyDescent="0.2">
      <c r="A120" s="692">
        <v>110</v>
      </c>
      <c r="B120" s="58" t="s">
        <v>284</v>
      </c>
      <c r="C120" s="111" t="s">
        <v>285</v>
      </c>
      <c r="D120" s="44"/>
      <c r="E120" s="152"/>
      <c r="F120" s="156"/>
      <c r="G120" s="157"/>
      <c r="H120" s="110"/>
      <c r="I120" s="157"/>
    </row>
    <row r="121" spans="1:9" x14ac:dyDescent="0.2">
      <c r="A121" s="692">
        <v>111</v>
      </c>
      <c r="B121" s="224" t="s">
        <v>780</v>
      </c>
      <c r="C121" s="220" t="s">
        <v>737</v>
      </c>
      <c r="D121" s="44"/>
      <c r="E121" s="152"/>
      <c r="F121" s="156"/>
      <c r="G121" s="157"/>
      <c r="H121" s="110"/>
      <c r="I121" s="157"/>
    </row>
    <row r="122" spans="1:9" x14ac:dyDescent="0.2">
      <c r="A122" s="692">
        <v>112</v>
      </c>
      <c r="B122" s="58" t="s">
        <v>286</v>
      </c>
      <c r="C122" s="111" t="s">
        <v>287</v>
      </c>
      <c r="D122" s="44"/>
      <c r="E122" s="152"/>
      <c r="F122" s="156"/>
      <c r="G122" s="157"/>
      <c r="H122" s="110"/>
      <c r="I122" s="157"/>
    </row>
    <row r="123" spans="1:9" x14ac:dyDescent="0.2">
      <c r="A123" s="692">
        <v>113</v>
      </c>
      <c r="B123" s="131" t="s">
        <v>288</v>
      </c>
      <c r="C123" s="113" t="s">
        <v>289</v>
      </c>
      <c r="D123" s="44"/>
      <c r="E123" s="152"/>
      <c r="F123" s="156"/>
      <c r="G123" s="157"/>
      <c r="H123" s="110"/>
      <c r="I123" s="157"/>
    </row>
    <row r="124" spans="1:9" x14ac:dyDescent="0.2">
      <c r="A124" s="692">
        <v>114</v>
      </c>
      <c r="B124" s="48" t="s">
        <v>290</v>
      </c>
      <c r="C124" s="111" t="s">
        <v>291</v>
      </c>
      <c r="D124" s="44"/>
      <c r="E124" s="152"/>
      <c r="F124" s="156"/>
      <c r="G124" s="157"/>
      <c r="H124" s="110"/>
      <c r="I124" s="157"/>
    </row>
    <row r="125" spans="1:9" ht="25.5" x14ac:dyDescent="0.2">
      <c r="A125" s="692">
        <v>115</v>
      </c>
      <c r="B125" s="58" t="s">
        <v>292</v>
      </c>
      <c r="C125" s="172" t="s">
        <v>293</v>
      </c>
      <c r="D125" s="44"/>
      <c r="E125" s="152"/>
      <c r="F125" s="156"/>
      <c r="G125" s="157"/>
      <c r="H125" s="110"/>
      <c r="I125" s="157"/>
    </row>
    <row r="126" spans="1:9" x14ac:dyDescent="0.2">
      <c r="A126" s="692">
        <v>116</v>
      </c>
      <c r="B126" s="48" t="s">
        <v>294</v>
      </c>
      <c r="C126" s="111" t="s">
        <v>295</v>
      </c>
      <c r="D126" s="44"/>
      <c r="E126" s="152"/>
      <c r="F126" s="156"/>
      <c r="G126" s="157"/>
      <c r="H126" s="110"/>
      <c r="I126" s="157"/>
    </row>
    <row r="127" spans="1:9" x14ac:dyDescent="0.2">
      <c r="A127" s="692">
        <v>117</v>
      </c>
      <c r="B127" s="58" t="s">
        <v>70</v>
      </c>
      <c r="C127" s="111" t="s">
        <v>296</v>
      </c>
      <c r="D127" s="44"/>
      <c r="E127" s="152"/>
      <c r="F127" s="156"/>
      <c r="G127" s="157"/>
      <c r="H127" s="110"/>
      <c r="I127" s="157"/>
    </row>
    <row r="128" spans="1:9" x14ac:dyDescent="0.2">
      <c r="A128" s="692">
        <v>118</v>
      </c>
      <c r="B128" s="58" t="s">
        <v>72</v>
      </c>
      <c r="C128" s="111" t="s">
        <v>73</v>
      </c>
      <c r="D128" s="44"/>
      <c r="E128" s="152"/>
      <c r="F128" s="156"/>
      <c r="G128" s="157"/>
      <c r="H128" s="110"/>
      <c r="I128" s="157"/>
    </row>
    <row r="129" spans="1:9" x14ac:dyDescent="0.2">
      <c r="A129" s="692">
        <v>119</v>
      </c>
      <c r="B129" s="48" t="s">
        <v>34</v>
      </c>
      <c r="C129" s="111" t="s">
        <v>35</v>
      </c>
      <c r="D129" s="44"/>
      <c r="E129" s="152"/>
      <c r="F129" s="156"/>
      <c r="G129" s="157"/>
      <c r="H129" s="110"/>
      <c r="I129" s="157"/>
    </row>
    <row r="130" spans="1:9" x14ac:dyDescent="0.2">
      <c r="A130" s="692">
        <v>120</v>
      </c>
      <c r="B130" s="58" t="s">
        <v>297</v>
      </c>
      <c r="C130" s="111" t="s">
        <v>298</v>
      </c>
      <c r="D130" s="44"/>
      <c r="E130" s="152"/>
      <c r="F130" s="156"/>
      <c r="G130" s="157"/>
      <c r="H130" s="110"/>
      <c r="I130" s="157"/>
    </row>
    <row r="131" spans="1:9" x14ac:dyDescent="0.2">
      <c r="A131" s="692">
        <v>121</v>
      </c>
      <c r="B131" s="48" t="s">
        <v>299</v>
      </c>
      <c r="C131" s="111" t="s">
        <v>300</v>
      </c>
      <c r="D131" s="44"/>
      <c r="E131" s="152"/>
      <c r="F131" s="156"/>
      <c r="G131" s="157"/>
      <c r="H131" s="110"/>
      <c r="I131" s="157"/>
    </row>
    <row r="132" spans="1:9" x14ac:dyDescent="0.2">
      <c r="A132" s="692">
        <v>122</v>
      </c>
      <c r="B132" s="48" t="s">
        <v>301</v>
      </c>
      <c r="C132" s="111" t="s">
        <v>302</v>
      </c>
      <c r="D132" s="44"/>
      <c r="E132" s="152"/>
      <c r="F132" s="156"/>
      <c r="G132" s="157"/>
      <c r="H132" s="110"/>
      <c r="I132" s="157"/>
    </row>
    <row r="133" spans="1:9" x14ac:dyDescent="0.2">
      <c r="A133" s="692">
        <v>123</v>
      </c>
      <c r="B133" s="58" t="s">
        <v>16</v>
      </c>
      <c r="C133" s="111" t="s">
        <v>17</v>
      </c>
      <c r="D133" s="44"/>
      <c r="E133" s="152"/>
      <c r="F133" s="156"/>
      <c r="G133" s="157"/>
      <c r="H133" s="110"/>
      <c r="I133" s="157"/>
    </row>
    <row r="134" spans="1:9" x14ac:dyDescent="0.2">
      <c r="A134" s="692">
        <v>124</v>
      </c>
      <c r="B134" s="58" t="s">
        <v>68</v>
      </c>
      <c r="C134" s="111" t="s">
        <v>69</v>
      </c>
      <c r="D134" s="44"/>
      <c r="E134" s="152"/>
      <c r="F134" s="156"/>
      <c r="G134" s="157"/>
      <c r="H134" s="110"/>
      <c r="I134" s="157"/>
    </row>
    <row r="135" spans="1:9" x14ac:dyDescent="0.2">
      <c r="A135" s="692">
        <v>125</v>
      </c>
      <c r="B135" s="58" t="s">
        <v>60</v>
      </c>
      <c r="C135" s="111" t="s">
        <v>303</v>
      </c>
      <c r="D135" s="44"/>
      <c r="E135" s="152"/>
      <c r="F135" s="156"/>
      <c r="G135" s="157"/>
      <c r="H135" s="110"/>
      <c r="I135" s="157"/>
    </row>
    <row r="136" spans="1:9" x14ac:dyDescent="0.2">
      <c r="A136" s="692">
        <v>126</v>
      </c>
      <c r="B136" s="58" t="s">
        <v>56</v>
      </c>
      <c r="C136" s="111" t="s">
        <v>304</v>
      </c>
      <c r="D136" s="44"/>
      <c r="E136" s="152"/>
      <c r="F136" s="156"/>
      <c r="G136" s="157"/>
      <c r="H136" s="110"/>
      <c r="I136" s="157"/>
    </row>
    <row r="137" spans="1:9" x14ac:dyDescent="0.2">
      <c r="A137" s="692">
        <v>127</v>
      </c>
      <c r="B137" s="58" t="s">
        <v>305</v>
      </c>
      <c r="C137" s="111" t="s">
        <v>306</v>
      </c>
      <c r="D137" s="44"/>
      <c r="E137" s="152"/>
      <c r="F137" s="156"/>
      <c r="G137" s="157"/>
      <c r="H137" s="110"/>
      <c r="I137" s="157"/>
    </row>
    <row r="138" spans="1:9" x14ac:dyDescent="0.2">
      <c r="A138" s="692">
        <v>128</v>
      </c>
      <c r="B138" s="48" t="s">
        <v>307</v>
      </c>
      <c r="C138" s="111" t="s">
        <v>308</v>
      </c>
      <c r="D138" s="44"/>
      <c r="E138" s="152"/>
      <c r="F138" s="156"/>
      <c r="G138" s="157"/>
      <c r="H138" s="110"/>
      <c r="I138" s="157"/>
    </row>
    <row r="139" spans="1:9" x14ac:dyDescent="0.2">
      <c r="A139" s="692">
        <v>129</v>
      </c>
      <c r="B139" s="58" t="s">
        <v>309</v>
      </c>
      <c r="C139" s="174" t="s">
        <v>310</v>
      </c>
      <c r="D139" s="44"/>
      <c r="E139" s="152"/>
      <c r="F139" s="156"/>
      <c r="G139" s="157"/>
      <c r="H139" s="110"/>
      <c r="I139" s="157"/>
    </row>
    <row r="140" spans="1:9" x14ac:dyDescent="0.2">
      <c r="A140" s="692">
        <v>130</v>
      </c>
      <c r="B140" s="58" t="s">
        <v>311</v>
      </c>
      <c r="C140" s="51" t="s">
        <v>312</v>
      </c>
      <c r="D140" s="44"/>
      <c r="E140" s="152"/>
      <c r="F140" s="156"/>
      <c r="G140" s="157"/>
      <c r="H140" s="110"/>
      <c r="I140" s="157"/>
    </row>
    <row r="141" spans="1:9" x14ac:dyDescent="0.2">
      <c r="A141" s="692">
        <v>131</v>
      </c>
      <c r="B141" s="59" t="s">
        <v>313</v>
      </c>
      <c r="C141" s="60" t="s">
        <v>314</v>
      </c>
      <c r="D141" s="44">
        <v>26100</v>
      </c>
      <c r="E141" s="152">
        <v>4350</v>
      </c>
      <c r="F141" s="47">
        <v>2178</v>
      </c>
      <c r="G141" s="157">
        <v>69696</v>
      </c>
      <c r="H141" s="110">
        <v>2967</v>
      </c>
      <c r="I141" s="157">
        <v>62310</v>
      </c>
    </row>
    <row r="142" spans="1:9" x14ac:dyDescent="0.2">
      <c r="A142" s="692">
        <v>132</v>
      </c>
      <c r="B142" s="58" t="s">
        <v>315</v>
      </c>
      <c r="C142" s="62" t="s">
        <v>316</v>
      </c>
      <c r="D142" s="44"/>
      <c r="E142" s="152"/>
      <c r="F142" s="156"/>
      <c r="G142" s="157"/>
      <c r="H142" s="110"/>
      <c r="I142" s="155"/>
    </row>
    <row r="143" spans="1:9" x14ac:dyDescent="0.2">
      <c r="A143" s="692">
        <v>133</v>
      </c>
      <c r="B143" s="63" t="s">
        <v>317</v>
      </c>
      <c r="C143" s="64" t="s">
        <v>318</v>
      </c>
      <c r="D143" s="44"/>
      <c r="E143" s="152"/>
      <c r="F143" s="156"/>
      <c r="G143" s="157"/>
      <c r="H143" s="110"/>
      <c r="I143" s="155"/>
    </row>
    <row r="144" spans="1:9" x14ac:dyDescent="0.2">
      <c r="A144" s="692">
        <v>134</v>
      </c>
      <c r="B144" s="65" t="s">
        <v>319</v>
      </c>
      <c r="C144" s="64" t="s">
        <v>320</v>
      </c>
      <c r="D144" s="717"/>
      <c r="E144" s="152"/>
      <c r="F144" s="718"/>
      <c r="G144" s="153"/>
      <c r="H144" s="110"/>
      <c r="I144" s="155"/>
    </row>
    <row r="145" spans="1:9" ht="13.5" thickBot="1" x14ac:dyDescent="0.25">
      <c r="A145" s="697">
        <v>135</v>
      </c>
      <c r="B145" s="698" t="s">
        <v>728</v>
      </c>
      <c r="C145" s="699" t="s">
        <v>729</v>
      </c>
      <c r="D145" s="719"/>
      <c r="E145" s="720"/>
      <c r="F145" s="700"/>
      <c r="G145" s="701"/>
      <c r="H145" s="702"/>
      <c r="I145" s="701"/>
    </row>
    <row r="146" spans="1:9" x14ac:dyDescent="0.2">
      <c r="F146" s="16"/>
      <c r="G146" s="16"/>
      <c r="H146" s="16"/>
      <c r="I146" s="16"/>
    </row>
    <row r="147" spans="1:9" x14ac:dyDescent="0.2">
      <c r="G147" s="143"/>
      <c r="I147" s="143"/>
    </row>
    <row r="148" spans="1:9" x14ac:dyDescent="0.2">
      <c r="G148" s="143"/>
      <c r="I148" s="159"/>
    </row>
    <row r="149" spans="1:9" x14ac:dyDescent="0.2">
      <c r="F149" s="16"/>
      <c r="G149" s="159"/>
      <c r="I149" s="159"/>
    </row>
    <row r="150" spans="1:9" x14ac:dyDescent="0.2">
      <c r="F150" s="16"/>
    </row>
  </sheetData>
  <mergeCells count="12">
    <mergeCell ref="A1:I1"/>
    <mergeCell ref="A3:A4"/>
    <mergeCell ref="B3:B4"/>
    <mergeCell ref="C3:C4"/>
    <mergeCell ref="D3:E3"/>
    <mergeCell ref="F3:G3"/>
    <mergeCell ref="H3:I3"/>
    <mergeCell ref="A5:C5"/>
    <mergeCell ref="A6:C6"/>
    <mergeCell ref="A7:C7"/>
    <mergeCell ref="A86:A89"/>
    <mergeCell ref="B86:B8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146"/>
  <sheetViews>
    <sheetView zoomScale="90" zoomScaleNormal="90" workbookViewId="0">
      <pane xSplit="3" ySplit="7" topLeftCell="D124" activePane="bottomRight" state="frozen"/>
      <selection pane="topRight" activeCell="D1" sqref="D1"/>
      <selection pane="bottomLeft" activeCell="A8" sqref="A8"/>
      <selection pane="bottomRight" activeCell="K150" sqref="K150"/>
    </sheetView>
  </sheetViews>
  <sheetFormatPr defaultRowHeight="12.75" x14ac:dyDescent="0.25"/>
  <cols>
    <col min="1" max="1" width="5.85546875" style="92" customWidth="1"/>
    <col min="2" max="2" width="9.140625" style="92"/>
    <col min="3" max="3" width="32.7109375" style="93" customWidth="1"/>
    <col min="4" max="4" width="14" style="94" customWidth="1"/>
    <col min="5" max="5" width="14.28515625" style="94" customWidth="1"/>
    <col min="6" max="6" width="12.5703125" style="121" customWidth="1"/>
    <col min="7" max="7" width="13.42578125" style="94" customWidth="1"/>
    <col min="8" max="8" width="13.28515625" style="118" customWidth="1"/>
    <col min="9" max="9" width="13.140625" style="95" customWidth="1"/>
    <col min="10" max="10" width="11.28515625" style="118" customWidth="1"/>
    <col min="11" max="11" width="13.140625" style="95" customWidth="1"/>
    <col min="12" max="16384" width="9.140625" style="92"/>
  </cols>
  <sheetData>
    <row r="1" spans="1:11" ht="38.25" customHeight="1" x14ac:dyDescent="0.25">
      <c r="A1" s="1219" t="s">
        <v>789</v>
      </c>
      <c r="B1" s="1264"/>
      <c r="C1" s="1264"/>
      <c r="D1" s="1264"/>
      <c r="E1" s="1264"/>
      <c r="F1" s="1264"/>
      <c r="G1" s="1264"/>
      <c r="H1" s="1264"/>
      <c r="I1" s="1264"/>
      <c r="J1" s="1264"/>
      <c r="K1" s="1264"/>
    </row>
    <row r="2" spans="1:11" ht="13.5" thickBot="1" x14ac:dyDescent="0.3"/>
    <row r="3" spans="1:11" s="91" customFormat="1" ht="25.5" customHeight="1" x14ac:dyDescent="0.25">
      <c r="A3" s="1259" t="s">
        <v>0</v>
      </c>
      <c r="B3" s="1223" t="s">
        <v>1</v>
      </c>
      <c r="C3" s="1251" t="s">
        <v>93</v>
      </c>
      <c r="D3" s="1253" t="s">
        <v>338</v>
      </c>
      <c r="E3" s="1265"/>
      <c r="F3" s="1265"/>
      <c r="G3" s="1266"/>
      <c r="H3" s="1253" t="s">
        <v>339</v>
      </c>
      <c r="I3" s="1255"/>
      <c r="J3" s="1267" t="s">
        <v>340</v>
      </c>
      <c r="K3" s="1268"/>
    </row>
    <row r="4" spans="1:11" s="91" customFormat="1" ht="52.5" customHeight="1" thickBot="1" x14ac:dyDescent="0.3">
      <c r="A4" s="1260"/>
      <c r="B4" s="1250"/>
      <c r="C4" s="1252"/>
      <c r="D4" s="97" t="s">
        <v>325</v>
      </c>
      <c r="E4" s="160" t="s">
        <v>350</v>
      </c>
      <c r="F4" s="161" t="s">
        <v>348</v>
      </c>
      <c r="G4" s="146" t="s">
        <v>326</v>
      </c>
      <c r="H4" s="147" t="s">
        <v>343</v>
      </c>
      <c r="I4" s="98" t="s">
        <v>328</v>
      </c>
      <c r="J4" s="721" t="s">
        <v>351</v>
      </c>
      <c r="K4" s="98" t="s">
        <v>330</v>
      </c>
    </row>
    <row r="5" spans="1:11" x14ac:dyDescent="0.25">
      <c r="A5" s="1243" t="s">
        <v>331</v>
      </c>
      <c r="B5" s="1244"/>
      <c r="C5" s="1245"/>
      <c r="D5" s="100">
        <f t="shared" ref="D5:K5" si="0">SUM(D6:D7)</f>
        <v>639440</v>
      </c>
      <c r="E5" s="162">
        <f t="shared" si="0"/>
        <v>99924</v>
      </c>
      <c r="F5" s="162">
        <f t="shared" si="0"/>
        <v>739364</v>
      </c>
      <c r="G5" s="133">
        <f t="shared" si="0"/>
        <v>188557</v>
      </c>
      <c r="H5" s="163">
        <f t="shared" si="0"/>
        <v>6603</v>
      </c>
      <c r="I5" s="102">
        <f t="shared" si="0"/>
        <v>526080</v>
      </c>
      <c r="J5" s="101">
        <f t="shared" si="0"/>
        <v>799</v>
      </c>
      <c r="K5" s="102">
        <f t="shared" si="0"/>
        <v>41540</v>
      </c>
    </row>
    <row r="6" spans="1:11" x14ac:dyDescent="0.25">
      <c r="A6" s="1211" t="s">
        <v>106</v>
      </c>
      <c r="B6" s="1212"/>
      <c r="C6" s="1214"/>
      <c r="D6" s="103"/>
      <c r="E6" s="131"/>
      <c r="F6" s="126"/>
      <c r="G6" s="136"/>
      <c r="H6" s="164"/>
      <c r="I6" s="106"/>
      <c r="J6" s="105"/>
      <c r="K6" s="36"/>
    </row>
    <row r="7" spans="1:11" x14ac:dyDescent="0.25">
      <c r="A7" s="1211" t="s">
        <v>108</v>
      </c>
      <c r="B7" s="1212"/>
      <c r="C7" s="1214"/>
      <c r="D7" s="35">
        <f t="shared" ref="D7:K7" si="1">SUM(D8:D144)-D86</f>
        <v>639440</v>
      </c>
      <c r="E7" s="126">
        <f t="shared" si="1"/>
        <v>99924</v>
      </c>
      <c r="F7" s="126">
        <f t="shared" si="1"/>
        <v>739364</v>
      </c>
      <c r="G7" s="136">
        <f t="shared" si="1"/>
        <v>188557</v>
      </c>
      <c r="H7" s="917">
        <f t="shared" si="1"/>
        <v>6603</v>
      </c>
      <c r="I7" s="36">
        <f t="shared" si="1"/>
        <v>526080</v>
      </c>
      <c r="J7" s="105">
        <f t="shared" si="1"/>
        <v>799</v>
      </c>
      <c r="K7" s="36">
        <f t="shared" si="1"/>
        <v>41540</v>
      </c>
    </row>
    <row r="8" spans="1:11" x14ac:dyDescent="0.25">
      <c r="A8" s="910">
        <v>1</v>
      </c>
      <c r="B8" s="37" t="s">
        <v>109</v>
      </c>
      <c r="C8" s="111" t="s">
        <v>110</v>
      </c>
      <c r="D8" s="103">
        <v>2850</v>
      </c>
      <c r="E8" s="131"/>
      <c r="F8" s="126">
        <f>D8+E8</f>
        <v>2850</v>
      </c>
      <c r="G8" s="165">
        <v>475</v>
      </c>
      <c r="H8" s="166"/>
      <c r="I8" s="106"/>
      <c r="J8" s="722"/>
      <c r="K8" s="106"/>
    </row>
    <row r="9" spans="1:11" x14ac:dyDescent="0.25">
      <c r="A9" s="910">
        <v>2</v>
      </c>
      <c r="B9" s="37" t="s">
        <v>111</v>
      </c>
      <c r="C9" s="111" t="s">
        <v>112</v>
      </c>
      <c r="D9" s="103">
        <v>5458</v>
      </c>
      <c r="E9" s="131"/>
      <c r="F9" s="126">
        <f>D9+E9</f>
        <v>5458</v>
      </c>
      <c r="G9" s="165">
        <v>912</v>
      </c>
      <c r="H9" s="166"/>
      <c r="I9" s="106"/>
      <c r="J9" s="722"/>
      <c r="K9" s="106"/>
    </row>
    <row r="10" spans="1:11" x14ac:dyDescent="0.25">
      <c r="A10" s="910">
        <v>3</v>
      </c>
      <c r="B10" s="46" t="s">
        <v>80</v>
      </c>
      <c r="C10" s="111" t="s">
        <v>81</v>
      </c>
      <c r="D10" s="103"/>
      <c r="E10" s="131"/>
      <c r="F10" s="126"/>
      <c r="G10" s="165"/>
      <c r="H10" s="166"/>
      <c r="I10" s="106"/>
      <c r="J10" s="722"/>
      <c r="K10" s="106"/>
    </row>
    <row r="11" spans="1:11" x14ac:dyDescent="0.25">
      <c r="A11" s="910">
        <v>4</v>
      </c>
      <c r="B11" s="37" t="s">
        <v>113</v>
      </c>
      <c r="C11" s="111" t="s">
        <v>114</v>
      </c>
      <c r="D11" s="103">
        <v>2250</v>
      </c>
      <c r="E11" s="131"/>
      <c r="F11" s="126">
        <f t="shared" ref="F11:F19" si="2">D11+E11</f>
        <v>2250</v>
      </c>
      <c r="G11" s="165">
        <v>375</v>
      </c>
      <c r="H11" s="166"/>
      <c r="I11" s="106"/>
      <c r="J11" s="722"/>
      <c r="K11" s="106"/>
    </row>
    <row r="12" spans="1:11" x14ac:dyDescent="0.25">
      <c r="A12" s="910">
        <v>5</v>
      </c>
      <c r="B12" s="37" t="s">
        <v>115</v>
      </c>
      <c r="C12" s="111" t="s">
        <v>116</v>
      </c>
      <c r="D12" s="103">
        <v>3000</v>
      </c>
      <c r="E12" s="131"/>
      <c r="F12" s="126">
        <f t="shared" si="2"/>
        <v>3000</v>
      </c>
      <c r="G12" s="165">
        <v>500</v>
      </c>
      <c r="H12" s="166"/>
      <c r="I12" s="106"/>
      <c r="J12" s="722"/>
      <c r="K12" s="106"/>
    </row>
    <row r="13" spans="1:11" x14ac:dyDescent="0.25">
      <c r="A13" s="910">
        <v>6</v>
      </c>
      <c r="B13" s="46" t="s">
        <v>117</v>
      </c>
      <c r="C13" s="111" t="s">
        <v>118</v>
      </c>
      <c r="D13" s="103">
        <v>1500</v>
      </c>
      <c r="E13" s="131"/>
      <c r="F13" s="126">
        <f t="shared" si="2"/>
        <v>1500</v>
      </c>
      <c r="G13" s="165">
        <v>250</v>
      </c>
      <c r="H13" s="166"/>
      <c r="I13" s="106"/>
      <c r="J13" s="722"/>
      <c r="K13" s="106"/>
    </row>
    <row r="14" spans="1:11" x14ac:dyDescent="0.25">
      <c r="A14" s="910">
        <v>7</v>
      </c>
      <c r="B14" s="48" t="s">
        <v>20</v>
      </c>
      <c r="C14" s="111" t="s">
        <v>21</v>
      </c>
      <c r="D14" s="103">
        <v>5625</v>
      </c>
      <c r="E14" s="131"/>
      <c r="F14" s="126">
        <f t="shared" si="2"/>
        <v>5625</v>
      </c>
      <c r="G14" s="165">
        <v>938</v>
      </c>
      <c r="H14" s="166"/>
      <c r="I14" s="106"/>
      <c r="J14" s="722"/>
      <c r="K14" s="106"/>
    </row>
    <row r="15" spans="1:11" x14ac:dyDescent="0.25">
      <c r="A15" s="910">
        <v>8</v>
      </c>
      <c r="B15" s="46" t="s">
        <v>119</v>
      </c>
      <c r="C15" s="111" t="s">
        <v>120</v>
      </c>
      <c r="D15" s="103">
        <v>3375</v>
      </c>
      <c r="E15" s="131"/>
      <c r="F15" s="126">
        <f t="shared" si="2"/>
        <v>3375</v>
      </c>
      <c r="G15" s="165">
        <v>562</v>
      </c>
      <c r="H15" s="166"/>
      <c r="I15" s="106"/>
      <c r="J15" s="722"/>
      <c r="K15" s="106"/>
    </row>
    <row r="16" spans="1:11" x14ac:dyDescent="0.25">
      <c r="A16" s="910">
        <v>9</v>
      </c>
      <c r="B16" s="46" t="s">
        <v>121</v>
      </c>
      <c r="C16" s="111" t="s">
        <v>122</v>
      </c>
      <c r="D16" s="103">
        <v>3750</v>
      </c>
      <c r="E16" s="131"/>
      <c r="F16" s="126">
        <f t="shared" si="2"/>
        <v>3750</v>
      </c>
      <c r="G16" s="165">
        <v>625</v>
      </c>
      <c r="H16" s="166"/>
      <c r="I16" s="106"/>
      <c r="J16" s="722"/>
      <c r="K16" s="106"/>
    </row>
    <row r="17" spans="1:11" x14ac:dyDescent="0.25">
      <c r="A17" s="910">
        <v>10</v>
      </c>
      <c r="B17" s="46" t="s">
        <v>123</v>
      </c>
      <c r="C17" s="111" t="s">
        <v>124</v>
      </c>
      <c r="D17" s="103">
        <v>2625</v>
      </c>
      <c r="E17" s="131"/>
      <c r="F17" s="126">
        <f t="shared" si="2"/>
        <v>2625</v>
      </c>
      <c r="G17" s="165">
        <v>438</v>
      </c>
      <c r="H17" s="166"/>
      <c r="I17" s="106"/>
      <c r="J17" s="722"/>
      <c r="K17" s="106"/>
    </row>
    <row r="18" spans="1:11" x14ac:dyDescent="0.25">
      <c r="A18" s="910">
        <v>11</v>
      </c>
      <c r="B18" s="46" t="s">
        <v>125</v>
      </c>
      <c r="C18" s="111" t="s">
        <v>126</v>
      </c>
      <c r="D18" s="103">
        <v>3418</v>
      </c>
      <c r="E18" s="131"/>
      <c r="F18" s="126">
        <f t="shared" si="2"/>
        <v>3418</v>
      </c>
      <c r="G18" s="165">
        <v>569</v>
      </c>
      <c r="H18" s="166"/>
      <c r="I18" s="106"/>
      <c r="J18" s="722"/>
      <c r="K18" s="106"/>
    </row>
    <row r="19" spans="1:11" x14ac:dyDescent="0.25">
      <c r="A19" s="910">
        <v>12</v>
      </c>
      <c r="B19" s="46" t="s">
        <v>127</v>
      </c>
      <c r="C19" s="111" t="s">
        <v>128</v>
      </c>
      <c r="D19" s="103">
        <v>6525</v>
      </c>
      <c r="E19" s="131"/>
      <c r="F19" s="126">
        <f t="shared" si="2"/>
        <v>6525</v>
      </c>
      <c r="G19" s="165">
        <v>1088</v>
      </c>
      <c r="H19" s="166"/>
      <c r="I19" s="106"/>
      <c r="J19" s="722"/>
      <c r="K19" s="106"/>
    </row>
    <row r="20" spans="1:11" x14ac:dyDescent="0.25">
      <c r="A20" s="910">
        <v>13</v>
      </c>
      <c r="B20" s="49" t="s">
        <v>129</v>
      </c>
      <c r="C20" s="112" t="s">
        <v>130</v>
      </c>
      <c r="D20" s="103"/>
      <c r="E20" s="131"/>
      <c r="F20" s="126"/>
      <c r="G20" s="165"/>
      <c r="H20" s="166"/>
      <c r="I20" s="106"/>
      <c r="J20" s="722"/>
      <c r="K20" s="106"/>
    </row>
    <row r="21" spans="1:11" x14ac:dyDescent="0.25">
      <c r="A21" s="910">
        <v>14</v>
      </c>
      <c r="B21" s="46" t="s">
        <v>131</v>
      </c>
      <c r="C21" s="111" t="s">
        <v>132</v>
      </c>
      <c r="D21" s="103">
        <v>4575</v>
      </c>
      <c r="E21" s="131"/>
      <c r="F21" s="126">
        <f>D21+E21</f>
        <v>4575</v>
      </c>
      <c r="G21" s="165">
        <v>762</v>
      </c>
      <c r="H21" s="166"/>
      <c r="I21" s="106"/>
      <c r="J21" s="722"/>
      <c r="K21" s="106"/>
    </row>
    <row r="22" spans="1:11" x14ac:dyDescent="0.25">
      <c r="A22" s="910">
        <v>15</v>
      </c>
      <c r="B22" s="46" t="s">
        <v>133</v>
      </c>
      <c r="C22" s="111" t="s">
        <v>134</v>
      </c>
      <c r="D22" s="103">
        <v>6000</v>
      </c>
      <c r="E22" s="131"/>
      <c r="F22" s="126">
        <f>D22+E22</f>
        <v>6000</v>
      </c>
      <c r="G22" s="165">
        <v>1000</v>
      </c>
      <c r="H22" s="166"/>
      <c r="I22" s="106"/>
      <c r="J22" s="722"/>
      <c r="K22" s="106"/>
    </row>
    <row r="23" spans="1:11" x14ac:dyDescent="0.25">
      <c r="A23" s="910">
        <v>16</v>
      </c>
      <c r="B23" s="46" t="s">
        <v>135</v>
      </c>
      <c r="C23" s="111" t="s">
        <v>136</v>
      </c>
      <c r="D23" s="103">
        <v>7500</v>
      </c>
      <c r="E23" s="131"/>
      <c r="F23" s="126">
        <f>D23+E23</f>
        <v>7500</v>
      </c>
      <c r="G23" s="165">
        <v>1250</v>
      </c>
      <c r="H23" s="166"/>
      <c r="I23" s="106"/>
      <c r="J23" s="722"/>
      <c r="K23" s="106"/>
    </row>
    <row r="24" spans="1:11" x14ac:dyDescent="0.25">
      <c r="A24" s="910">
        <v>17</v>
      </c>
      <c r="B24" s="46" t="s">
        <v>30</v>
      </c>
      <c r="C24" s="111" t="s">
        <v>31</v>
      </c>
      <c r="D24" s="103"/>
      <c r="E24" s="131"/>
      <c r="F24" s="126"/>
      <c r="G24" s="165"/>
      <c r="H24" s="166"/>
      <c r="I24" s="106"/>
      <c r="J24" s="722"/>
      <c r="K24" s="106"/>
    </row>
    <row r="25" spans="1:11" x14ac:dyDescent="0.25">
      <c r="A25" s="910">
        <v>18</v>
      </c>
      <c r="B25" s="37" t="s">
        <v>137</v>
      </c>
      <c r="C25" s="111" t="s">
        <v>138</v>
      </c>
      <c r="D25" s="103">
        <v>2250</v>
      </c>
      <c r="E25" s="131"/>
      <c r="F25" s="126">
        <f>D25+E25</f>
        <v>2250</v>
      </c>
      <c r="G25" s="165">
        <v>375</v>
      </c>
      <c r="H25" s="166"/>
      <c r="I25" s="106"/>
      <c r="J25" s="722"/>
      <c r="K25" s="106"/>
    </row>
    <row r="26" spans="1:11" x14ac:dyDescent="0.25">
      <c r="A26" s="910">
        <v>19</v>
      </c>
      <c r="B26" s="37" t="s">
        <v>139</v>
      </c>
      <c r="C26" s="111" t="s">
        <v>140</v>
      </c>
      <c r="D26" s="103">
        <v>2250</v>
      </c>
      <c r="E26" s="131"/>
      <c r="F26" s="126">
        <f>D26+E26</f>
        <v>2250</v>
      </c>
      <c r="G26" s="165">
        <v>375</v>
      </c>
      <c r="H26" s="166"/>
      <c r="I26" s="106"/>
      <c r="J26" s="722"/>
      <c r="K26" s="106"/>
    </row>
    <row r="27" spans="1:11" x14ac:dyDescent="0.25">
      <c r="A27" s="910">
        <v>20</v>
      </c>
      <c r="B27" s="37" t="s">
        <v>84</v>
      </c>
      <c r="C27" s="111" t="s">
        <v>85</v>
      </c>
      <c r="D27" s="103">
        <v>5250</v>
      </c>
      <c r="E27" s="131"/>
      <c r="F27" s="126">
        <f>D27+E27</f>
        <v>5250</v>
      </c>
      <c r="G27" s="165">
        <v>875</v>
      </c>
      <c r="H27" s="166"/>
      <c r="I27" s="106"/>
      <c r="J27" s="722"/>
      <c r="K27" s="106"/>
    </row>
    <row r="28" spans="1:11" x14ac:dyDescent="0.25">
      <c r="A28" s="910">
        <v>21</v>
      </c>
      <c r="B28" s="37" t="s">
        <v>141</v>
      </c>
      <c r="C28" s="111" t="s">
        <v>142</v>
      </c>
      <c r="D28" s="103"/>
      <c r="E28" s="131"/>
      <c r="F28" s="126"/>
      <c r="G28" s="165"/>
      <c r="H28" s="166"/>
      <c r="I28" s="106"/>
      <c r="J28" s="722"/>
      <c r="K28" s="106"/>
    </row>
    <row r="29" spans="1:11" x14ac:dyDescent="0.25">
      <c r="A29" s="910">
        <v>22</v>
      </c>
      <c r="B29" s="46" t="s">
        <v>143</v>
      </c>
      <c r="C29" s="111" t="s">
        <v>144</v>
      </c>
      <c r="D29" s="103"/>
      <c r="E29" s="131"/>
      <c r="F29" s="126"/>
      <c r="G29" s="165"/>
      <c r="H29" s="166"/>
      <c r="I29" s="106"/>
      <c r="J29" s="722"/>
      <c r="K29" s="106"/>
    </row>
    <row r="30" spans="1:11" x14ac:dyDescent="0.25">
      <c r="A30" s="910">
        <v>23</v>
      </c>
      <c r="B30" s="46" t="s">
        <v>145</v>
      </c>
      <c r="C30" s="111" t="s">
        <v>146</v>
      </c>
      <c r="D30" s="103"/>
      <c r="E30" s="131"/>
      <c r="F30" s="126"/>
      <c r="G30" s="165"/>
      <c r="H30" s="166"/>
      <c r="I30" s="106"/>
      <c r="J30" s="722"/>
      <c r="K30" s="106"/>
    </row>
    <row r="31" spans="1:11" ht="25.5" x14ac:dyDescent="0.25">
      <c r="A31" s="910">
        <v>24</v>
      </c>
      <c r="B31" s="46" t="s">
        <v>147</v>
      </c>
      <c r="C31" s="111" t="s">
        <v>148</v>
      </c>
      <c r="D31" s="103"/>
      <c r="E31" s="131"/>
      <c r="F31" s="126"/>
      <c r="G31" s="165"/>
      <c r="H31" s="166"/>
      <c r="I31" s="106"/>
      <c r="J31" s="722"/>
      <c r="K31" s="106"/>
    </row>
    <row r="32" spans="1:11" x14ac:dyDescent="0.25">
      <c r="A32" s="910">
        <v>25</v>
      </c>
      <c r="B32" s="37" t="s">
        <v>149</v>
      </c>
      <c r="C32" s="111" t="s">
        <v>150</v>
      </c>
      <c r="D32" s="103">
        <v>5625</v>
      </c>
      <c r="E32" s="131"/>
      <c r="F32" s="126">
        <f>D32+E32</f>
        <v>5625</v>
      </c>
      <c r="G32" s="165">
        <v>938</v>
      </c>
      <c r="H32" s="166"/>
      <c r="I32" s="106"/>
      <c r="J32" s="722"/>
      <c r="K32" s="106"/>
    </row>
    <row r="33" spans="1:11" x14ac:dyDescent="0.25">
      <c r="A33" s="910">
        <v>26</v>
      </c>
      <c r="B33" s="46" t="s">
        <v>151</v>
      </c>
      <c r="C33" s="111" t="s">
        <v>152</v>
      </c>
      <c r="D33" s="103"/>
      <c r="E33" s="131"/>
      <c r="F33" s="126"/>
      <c r="G33" s="165"/>
      <c r="H33" s="166"/>
      <c r="I33" s="106"/>
      <c r="J33" s="722"/>
      <c r="K33" s="106"/>
    </row>
    <row r="34" spans="1:11" x14ac:dyDescent="0.25">
      <c r="A34" s="910">
        <v>27</v>
      </c>
      <c r="B34" s="37" t="s">
        <v>153</v>
      </c>
      <c r="C34" s="111" t="s">
        <v>154</v>
      </c>
      <c r="D34" s="103"/>
      <c r="E34" s="131"/>
      <c r="F34" s="126"/>
      <c r="G34" s="165"/>
      <c r="H34" s="166"/>
      <c r="I34" s="106"/>
      <c r="J34" s="722"/>
      <c r="K34" s="106"/>
    </row>
    <row r="35" spans="1:11" x14ac:dyDescent="0.25">
      <c r="A35" s="910">
        <v>28</v>
      </c>
      <c r="B35" s="37" t="s">
        <v>155</v>
      </c>
      <c r="C35" s="111" t="s">
        <v>156</v>
      </c>
      <c r="D35" s="103"/>
      <c r="E35" s="131"/>
      <c r="F35" s="126"/>
      <c r="G35" s="165"/>
      <c r="H35" s="166"/>
      <c r="I35" s="106"/>
      <c r="J35" s="722"/>
      <c r="K35" s="106"/>
    </row>
    <row r="36" spans="1:11" x14ac:dyDescent="0.25">
      <c r="A36" s="910">
        <v>29</v>
      </c>
      <c r="B36" s="46" t="s">
        <v>157</v>
      </c>
      <c r="C36" s="111" t="s">
        <v>158</v>
      </c>
      <c r="D36" s="103"/>
      <c r="E36" s="131"/>
      <c r="F36" s="126"/>
      <c r="G36" s="165"/>
      <c r="H36" s="166"/>
      <c r="I36" s="106"/>
      <c r="J36" s="722"/>
      <c r="K36" s="106"/>
    </row>
    <row r="37" spans="1:11" x14ac:dyDescent="0.25">
      <c r="A37" s="910">
        <v>30</v>
      </c>
      <c r="B37" s="37" t="s">
        <v>46</v>
      </c>
      <c r="C37" s="111" t="s">
        <v>47</v>
      </c>
      <c r="D37" s="103"/>
      <c r="E37" s="131"/>
      <c r="F37" s="126"/>
      <c r="G37" s="165"/>
      <c r="H37" s="166"/>
      <c r="I37" s="106"/>
      <c r="J37" s="722"/>
      <c r="K37" s="106"/>
    </row>
    <row r="38" spans="1:11" x14ac:dyDescent="0.25">
      <c r="A38" s="910">
        <v>31</v>
      </c>
      <c r="B38" s="48" t="s">
        <v>159</v>
      </c>
      <c r="C38" s="111" t="s">
        <v>160</v>
      </c>
      <c r="D38" s="103">
        <v>3750</v>
      </c>
      <c r="E38" s="131"/>
      <c r="F38" s="126">
        <f>D38+E38</f>
        <v>3750</v>
      </c>
      <c r="G38" s="165">
        <v>625</v>
      </c>
      <c r="H38" s="166"/>
      <c r="I38" s="106"/>
      <c r="J38" s="722"/>
      <c r="K38" s="106"/>
    </row>
    <row r="39" spans="1:11" x14ac:dyDescent="0.25">
      <c r="A39" s="910">
        <v>32</v>
      </c>
      <c r="B39" s="37" t="s">
        <v>58</v>
      </c>
      <c r="C39" s="111" t="s">
        <v>59</v>
      </c>
      <c r="D39" s="103"/>
      <c r="E39" s="131"/>
      <c r="F39" s="126"/>
      <c r="G39" s="165"/>
      <c r="H39" s="166"/>
      <c r="I39" s="106"/>
      <c r="J39" s="722"/>
      <c r="K39" s="106"/>
    </row>
    <row r="40" spans="1:11" x14ac:dyDescent="0.25">
      <c r="A40" s="910">
        <v>33</v>
      </c>
      <c r="B40" s="37" t="s">
        <v>161</v>
      </c>
      <c r="C40" s="111" t="s">
        <v>162</v>
      </c>
      <c r="D40" s="103">
        <v>3750</v>
      </c>
      <c r="E40" s="131"/>
      <c r="F40" s="126">
        <f t="shared" ref="F40:F45" si="3">D40+E40</f>
        <v>3750</v>
      </c>
      <c r="G40" s="165">
        <v>625</v>
      </c>
      <c r="H40" s="166"/>
      <c r="I40" s="106"/>
      <c r="J40" s="722"/>
      <c r="K40" s="106"/>
    </row>
    <row r="41" spans="1:11" x14ac:dyDescent="0.25">
      <c r="A41" s="910">
        <v>34</v>
      </c>
      <c r="B41" s="46" t="s">
        <v>82</v>
      </c>
      <c r="C41" s="111" t="s">
        <v>83</v>
      </c>
      <c r="D41" s="103">
        <v>11250</v>
      </c>
      <c r="E41" s="131"/>
      <c r="F41" s="126">
        <f t="shared" si="3"/>
        <v>11250</v>
      </c>
      <c r="G41" s="165">
        <v>1875</v>
      </c>
      <c r="H41" s="166"/>
      <c r="I41" s="106"/>
      <c r="J41" s="722"/>
      <c r="K41" s="106"/>
    </row>
    <row r="42" spans="1:11" x14ac:dyDescent="0.25">
      <c r="A42" s="910">
        <v>35</v>
      </c>
      <c r="B42" s="37" t="s">
        <v>163</v>
      </c>
      <c r="C42" s="111" t="s">
        <v>164</v>
      </c>
      <c r="D42" s="103">
        <v>3000</v>
      </c>
      <c r="E42" s="131"/>
      <c r="F42" s="126">
        <f t="shared" si="3"/>
        <v>3000</v>
      </c>
      <c r="G42" s="165">
        <v>500</v>
      </c>
      <c r="H42" s="166"/>
      <c r="I42" s="106"/>
      <c r="J42" s="722"/>
      <c r="K42" s="106"/>
    </row>
    <row r="43" spans="1:11" x14ac:dyDescent="0.25">
      <c r="A43" s="910">
        <v>36</v>
      </c>
      <c r="B43" s="37" t="s">
        <v>165</v>
      </c>
      <c r="C43" s="111" t="s">
        <v>166</v>
      </c>
      <c r="D43" s="103">
        <v>2700</v>
      </c>
      <c r="E43" s="131"/>
      <c r="F43" s="126">
        <f t="shared" si="3"/>
        <v>2700</v>
      </c>
      <c r="G43" s="165">
        <v>450</v>
      </c>
      <c r="H43" s="166"/>
      <c r="I43" s="106"/>
      <c r="J43" s="722"/>
      <c r="K43" s="106"/>
    </row>
    <row r="44" spans="1:11" x14ac:dyDescent="0.25">
      <c r="A44" s="910">
        <v>37</v>
      </c>
      <c r="B44" s="50" t="s">
        <v>86</v>
      </c>
      <c r="C44" s="113" t="s">
        <v>87</v>
      </c>
      <c r="D44" s="103">
        <v>5025</v>
      </c>
      <c r="E44" s="131"/>
      <c r="F44" s="126">
        <f t="shared" si="3"/>
        <v>5025</v>
      </c>
      <c r="G44" s="165">
        <v>838</v>
      </c>
      <c r="H44" s="166"/>
      <c r="I44" s="106"/>
      <c r="J44" s="722"/>
      <c r="K44" s="106"/>
    </row>
    <row r="45" spans="1:11" x14ac:dyDescent="0.25">
      <c r="A45" s="910">
        <v>38</v>
      </c>
      <c r="B45" s="37" t="s">
        <v>167</v>
      </c>
      <c r="C45" s="111" t="s">
        <v>168</v>
      </c>
      <c r="D45" s="103">
        <v>2819</v>
      </c>
      <c r="E45" s="131"/>
      <c r="F45" s="126">
        <f t="shared" si="3"/>
        <v>2819</v>
      </c>
      <c r="G45" s="165">
        <v>470</v>
      </c>
      <c r="H45" s="166"/>
      <c r="I45" s="106"/>
      <c r="J45" s="722"/>
      <c r="K45" s="106"/>
    </row>
    <row r="46" spans="1:11" x14ac:dyDescent="0.25">
      <c r="A46" s="910">
        <v>39</v>
      </c>
      <c r="B46" s="48" t="s">
        <v>169</v>
      </c>
      <c r="C46" s="111" t="s">
        <v>170</v>
      </c>
      <c r="D46" s="103"/>
      <c r="E46" s="131"/>
      <c r="F46" s="126"/>
      <c r="G46" s="165"/>
      <c r="H46" s="166"/>
      <c r="I46" s="106"/>
      <c r="J46" s="722"/>
      <c r="K46" s="106"/>
    </row>
    <row r="47" spans="1:11" x14ac:dyDescent="0.25">
      <c r="A47" s="910">
        <v>40</v>
      </c>
      <c r="B47" s="46" t="s">
        <v>171</v>
      </c>
      <c r="C47" s="111" t="s">
        <v>172</v>
      </c>
      <c r="D47" s="103"/>
      <c r="E47" s="131"/>
      <c r="F47" s="126"/>
      <c r="G47" s="165"/>
      <c r="H47" s="166"/>
      <c r="I47" s="106"/>
      <c r="J47" s="722"/>
      <c r="K47" s="106"/>
    </row>
    <row r="48" spans="1:11" x14ac:dyDescent="0.25">
      <c r="A48" s="910">
        <v>41</v>
      </c>
      <c r="B48" s="37" t="s">
        <v>78</v>
      </c>
      <c r="C48" s="111" t="s">
        <v>79</v>
      </c>
      <c r="D48" s="103">
        <v>3000</v>
      </c>
      <c r="E48" s="131"/>
      <c r="F48" s="126">
        <f t="shared" ref="F48:F57" si="4">D48+E48</f>
        <v>3000</v>
      </c>
      <c r="G48" s="165">
        <v>500</v>
      </c>
      <c r="H48" s="166"/>
      <c r="I48" s="106"/>
      <c r="J48" s="722"/>
      <c r="K48" s="106"/>
    </row>
    <row r="49" spans="1:11" x14ac:dyDescent="0.25">
      <c r="A49" s="910">
        <v>42</v>
      </c>
      <c r="B49" s="46" t="s">
        <v>173</v>
      </c>
      <c r="C49" s="111" t="s">
        <v>174</v>
      </c>
      <c r="D49" s="103">
        <v>6000</v>
      </c>
      <c r="E49" s="131"/>
      <c r="F49" s="126">
        <f t="shared" si="4"/>
        <v>6000</v>
      </c>
      <c r="G49" s="165">
        <v>1000</v>
      </c>
      <c r="H49" s="166"/>
      <c r="I49" s="106"/>
      <c r="J49" s="722"/>
      <c r="K49" s="106"/>
    </row>
    <row r="50" spans="1:11" x14ac:dyDescent="0.25">
      <c r="A50" s="910">
        <v>43</v>
      </c>
      <c r="B50" s="37" t="s">
        <v>175</v>
      </c>
      <c r="C50" s="111" t="s">
        <v>176</v>
      </c>
      <c r="D50" s="103">
        <v>3375</v>
      </c>
      <c r="E50" s="131"/>
      <c r="F50" s="126">
        <f t="shared" si="4"/>
        <v>3375</v>
      </c>
      <c r="G50" s="165">
        <v>562</v>
      </c>
      <c r="H50" s="166"/>
      <c r="I50" s="106"/>
      <c r="J50" s="722"/>
      <c r="K50" s="106"/>
    </row>
    <row r="51" spans="1:11" x14ac:dyDescent="0.25">
      <c r="A51" s="910">
        <v>44</v>
      </c>
      <c r="B51" s="37" t="s">
        <v>42</v>
      </c>
      <c r="C51" s="111" t="s">
        <v>43</v>
      </c>
      <c r="D51" s="103">
        <v>3750</v>
      </c>
      <c r="E51" s="131"/>
      <c r="F51" s="126">
        <f t="shared" si="4"/>
        <v>3750</v>
      </c>
      <c r="G51" s="165">
        <v>625</v>
      </c>
      <c r="H51" s="166"/>
      <c r="I51" s="106"/>
      <c r="J51" s="722"/>
      <c r="K51" s="106"/>
    </row>
    <row r="52" spans="1:11" x14ac:dyDescent="0.25">
      <c r="A52" s="910">
        <v>45</v>
      </c>
      <c r="B52" s="46" t="s">
        <v>177</v>
      </c>
      <c r="C52" s="111" t="s">
        <v>178</v>
      </c>
      <c r="D52" s="103">
        <v>5625</v>
      </c>
      <c r="E52" s="131"/>
      <c r="F52" s="126">
        <f t="shared" si="4"/>
        <v>5625</v>
      </c>
      <c r="G52" s="165">
        <v>938</v>
      </c>
      <c r="H52" s="166"/>
      <c r="I52" s="106"/>
      <c r="J52" s="722"/>
      <c r="K52" s="106"/>
    </row>
    <row r="53" spans="1:11" x14ac:dyDescent="0.25">
      <c r="A53" s="910">
        <v>46</v>
      </c>
      <c r="B53" s="46" t="s">
        <v>179</v>
      </c>
      <c r="C53" s="111" t="s">
        <v>180</v>
      </c>
      <c r="D53" s="103">
        <v>2250</v>
      </c>
      <c r="E53" s="131"/>
      <c r="F53" s="126">
        <f t="shared" si="4"/>
        <v>2250</v>
      </c>
      <c r="G53" s="165">
        <v>375</v>
      </c>
      <c r="H53" s="166"/>
      <c r="I53" s="106"/>
      <c r="J53" s="722"/>
      <c r="K53" s="106"/>
    </row>
    <row r="54" spans="1:11" x14ac:dyDescent="0.25">
      <c r="A54" s="910">
        <v>47</v>
      </c>
      <c r="B54" s="37" t="s">
        <v>181</v>
      </c>
      <c r="C54" s="111" t="s">
        <v>182</v>
      </c>
      <c r="D54" s="103">
        <v>3750</v>
      </c>
      <c r="E54" s="131"/>
      <c r="F54" s="126">
        <f t="shared" si="4"/>
        <v>3750</v>
      </c>
      <c r="G54" s="165">
        <v>625</v>
      </c>
      <c r="H54" s="166"/>
      <c r="I54" s="106"/>
      <c r="J54" s="722"/>
      <c r="K54" s="106"/>
    </row>
    <row r="55" spans="1:11" x14ac:dyDescent="0.25">
      <c r="A55" s="910">
        <v>48</v>
      </c>
      <c r="B55" s="46" t="s">
        <v>183</v>
      </c>
      <c r="C55" s="111" t="s">
        <v>184</v>
      </c>
      <c r="D55" s="103">
        <v>5850</v>
      </c>
      <c r="E55" s="131"/>
      <c r="F55" s="126">
        <f t="shared" si="4"/>
        <v>5850</v>
      </c>
      <c r="G55" s="165">
        <v>975</v>
      </c>
      <c r="H55" s="166"/>
      <c r="I55" s="106"/>
      <c r="J55" s="722"/>
      <c r="K55" s="106"/>
    </row>
    <row r="56" spans="1:11" x14ac:dyDescent="0.25">
      <c r="A56" s="910">
        <v>49</v>
      </c>
      <c r="B56" s="37" t="s">
        <v>185</v>
      </c>
      <c r="C56" s="111" t="s">
        <v>186</v>
      </c>
      <c r="D56" s="103">
        <v>11250</v>
      </c>
      <c r="E56" s="131"/>
      <c r="F56" s="126">
        <f t="shared" si="4"/>
        <v>11250</v>
      </c>
      <c r="G56" s="165">
        <v>1875</v>
      </c>
      <c r="H56" s="166"/>
      <c r="I56" s="106"/>
      <c r="J56" s="722"/>
      <c r="K56" s="106"/>
    </row>
    <row r="57" spans="1:11" x14ac:dyDescent="0.25">
      <c r="A57" s="910">
        <v>50</v>
      </c>
      <c r="B57" s="46" t="s">
        <v>187</v>
      </c>
      <c r="C57" s="111" t="s">
        <v>188</v>
      </c>
      <c r="D57" s="103">
        <v>3075</v>
      </c>
      <c r="E57" s="131"/>
      <c r="F57" s="126">
        <f t="shared" si="4"/>
        <v>3075</v>
      </c>
      <c r="G57" s="165">
        <v>512</v>
      </c>
      <c r="H57" s="166"/>
      <c r="I57" s="106"/>
      <c r="J57" s="722"/>
      <c r="K57" s="106"/>
    </row>
    <row r="58" spans="1:11" x14ac:dyDescent="0.25">
      <c r="A58" s="910">
        <v>51</v>
      </c>
      <c r="B58" s="46" t="s">
        <v>189</v>
      </c>
      <c r="C58" s="111" t="s">
        <v>190</v>
      </c>
      <c r="D58" s="103"/>
      <c r="E58" s="131"/>
      <c r="F58" s="126"/>
      <c r="G58" s="165"/>
      <c r="H58" s="166"/>
      <c r="I58" s="106"/>
      <c r="J58" s="722"/>
      <c r="K58" s="106"/>
    </row>
    <row r="59" spans="1:11" x14ac:dyDescent="0.25">
      <c r="A59" s="910">
        <v>52</v>
      </c>
      <c r="B59" s="911" t="s">
        <v>191</v>
      </c>
      <c r="C59" s="112" t="s">
        <v>192</v>
      </c>
      <c r="D59" s="103"/>
      <c r="E59" s="131"/>
      <c r="F59" s="126"/>
      <c r="G59" s="165"/>
      <c r="H59" s="166"/>
      <c r="I59" s="106"/>
      <c r="J59" s="722"/>
      <c r="K59" s="106"/>
    </row>
    <row r="60" spans="1:11" ht="25.5" x14ac:dyDescent="0.25">
      <c r="A60" s="910">
        <v>53</v>
      </c>
      <c r="B60" s="46" t="s">
        <v>22</v>
      </c>
      <c r="C60" s="111" t="s">
        <v>23</v>
      </c>
      <c r="D60" s="103"/>
      <c r="E60" s="131"/>
      <c r="F60" s="126"/>
      <c r="G60" s="165"/>
      <c r="H60" s="166"/>
      <c r="I60" s="106"/>
      <c r="J60" s="722"/>
      <c r="K60" s="106"/>
    </row>
    <row r="61" spans="1:11" ht="25.5" x14ac:dyDescent="0.25">
      <c r="A61" s="910">
        <v>54</v>
      </c>
      <c r="B61" s="46" t="s">
        <v>24</v>
      </c>
      <c r="C61" s="111" t="s">
        <v>25</v>
      </c>
      <c r="D61" s="103"/>
      <c r="E61" s="131"/>
      <c r="F61" s="126"/>
      <c r="G61" s="165"/>
      <c r="H61" s="166"/>
      <c r="I61" s="106"/>
      <c r="J61" s="722"/>
      <c r="K61" s="106"/>
    </row>
    <row r="62" spans="1:11" ht="25.5" x14ac:dyDescent="0.25">
      <c r="A62" s="910">
        <v>55</v>
      </c>
      <c r="B62" s="46" t="s">
        <v>193</v>
      </c>
      <c r="C62" s="111" t="s">
        <v>194</v>
      </c>
      <c r="D62" s="103"/>
      <c r="E62" s="131"/>
      <c r="F62" s="126"/>
      <c r="G62" s="165"/>
      <c r="H62" s="166"/>
      <c r="I62" s="106"/>
      <c r="J62" s="722"/>
      <c r="K62" s="106"/>
    </row>
    <row r="63" spans="1:11" ht="25.5" x14ac:dyDescent="0.25">
      <c r="A63" s="910">
        <v>56</v>
      </c>
      <c r="B63" s="37" t="s">
        <v>26</v>
      </c>
      <c r="C63" s="111" t="s">
        <v>27</v>
      </c>
      <c r="D63" s="103"/>
      <c r="E63" s="131"/>
      <c r="F63" s="126"/>
      <c r="G63" s="165"/>
      <c r="H63" s="166"/>
      <c r="I63" s="106"/>
      <c r="J63" s="722"/>
      <c r="K63" s="106"/>
    </row>
    <row r="64" spans="1:11" ht="25.5" x14ac:dyDescent="0.25">
      <c r="A64" s="910">
        <v>57</v>
      </c>
      <c r="B64" s="48" t="s">
        <v>28</v>
      </c>
      <c r="C64" s="111" t="s">
        <v>29</v>
      </c>
      <c r="D64" s="103"/>
      <c r="E64" s="131"/>
      <c r="F64" s="126"/>
      <c r="G64" s="165"/>
      <c r="H64" s="166"/>
      <c r="I64" s="106"/>
      <c r="J64" s="722"/>
      <c r="K64" s="106"/>
    </row>
    <row r="65" spans="1:11" ht="25.5" x14ac:dyDescent="0.25">
      <c r="A65" s="910">
        <v>58</v>
      </c>
      <c r="B65" s="37" t="s">
        <v>196</v>
      </c>
      <c r="C65" s="111" t="s">
        <v>197</v>
      </c>
      <c r="D65" s="103"/>
      <c r="E65" s="131"/>
      <c r="F65" s="126"/>
      <c r="G65" s="165"/>
      <c r="H65" s="166"/>
      <c r="I65" s="106"/>
      <c r="J65" s="722"/>
      <c r="K65" s="106"/>
    </row>
    <row r="66" spans="1:11" ht="25.5" x14ac:dyDescent="0.25">
      <c r="A66" s="910">
        <v>59</v>
      </c>
      <c r="B66" s="46" t="s">
        <v>198</v>
      </c>
      <c r="C66" s="111" t="s">
        <v>199</v>
      </c>
      <c r="D66" s="103"/>
      <c r="E66" s="131"/>
      <c r="F66" s="126"/>
      <c r="G66" s="165"/>
      <c r="H66" s="166"/>
      <c r="I66" s="106"/>
      <c r="J66" s="722"/>
      <c r="K66" s="106"/>
    </row>
    <row r="67" spans="1:11" x14ac:dyDescent="0.25">
      <c r="A67" s="910">
        <v>60</v>
      </c>
      <c r="B67" s="37" t="s">
        <v>62</v>
      </c>
      <c r="C67" s="111" t="s">
        <v>200</v>
      </c>
      <c r="D67" s="103"/>
      <c r="E67" s="131"/>
      <c r="F67" s="126"/>
      <c r="G67" s="165"/>
      <c r="H67" s="166"/>
      <c r="I67" s="106"/>
      <c r="J67" s="722"/>
      <c r="K67" s="106"/>
    </row>
    <row r="68" spans="1:11" x14ac:dyDescent="0.25">
      <c r="A68" s="910">
        <v>61</v>
      </c>
      <c r="B68" s="37" t="s">
        <v>64</v>
      </c>
      <c r="C68" s="111" t="s">
        <v>201</v>
      </c>
      <c r="D68" s="103"/>
      <c r="E68" s="131"/>
      <c r="F68" s="126"/>
      <c r="G68" s="165"/>
      <c r="H68" s="166"/>
      <c r="I68" s="106"/>
      <c r="J68" s="722"/>
      <c r="K68" s="106"/>
    </row>
    <row r="69" spans="1:11" x14ac:dyDescent="0.25">
      <c r="A69" s="910">
        <v>62</v>
      </c>
      <c r="B69" s="37" t="s">
        <v>66</v>
      </c>
      <c r="C69" s="111" t="s">
        <v>202</v>
      </c>
      <c r="D69" s="103"/>
      <c r="E69" s="131"/>
      <c r="F69" s="126"/>
      <c r="G69" s="165"/>
      <c r="H69" s="166"/>
      <c r="I69" s="106"/>
      <c r="J69" s="722"/>
      <c r="K69" s="106"/>
    </row>
    <row r="70" spans="1:11" ht="25.5" x14ac:dyDescent="0.25">
      <c r="A70" s="910">
        <v>63</v>
      </c>
      <c r="B70" s="37" t="s">
        <v>203</v>
      </c>
      <c r="C70" s="111" t="s">
        <v>204</v>
      </c>
      <c r="D70" s="103"/>
      <c r="E70" s="131"/>
      <c r="F70" s="126"/>
      <c r="G70" s="165"/>
      <c r="H70" s="166"/>
      <c r="I70" s="106"/>
      <c r="J70" s="722"/>
      <c r="K70" s="106"/>
    </row>
    <row r="71" spans="1:11" ht="25.5" x14ac:dyDescent="0.25">
      <c r="A71" s="910">
        <v>64</v>
      </c>
      <c r="B71" s="37" t="s">
        <v>205</v>
      </c>
      <c r="C71" s="111" t="s">
        <v>206</v>
      </c>
      <c r="D71" s="103"/>
      <c r="E71" s="131"/>
      <c r="F71" s="126"/>
      <c r="G71" s="165"/>
      <c r="H71" s="166"/>
      <c r="I71" s="106"/>
      <c r="J71" s="722"/>
      <c r="K71" s="106"/>
    </row>
    <row r="72" spans="1:11" ht="25.5" x14ac:dyDescent="0.25">
      <c r="A72" s="910">
        <v>65</v>
      </c>
      <c r="B72" s="37" t="s">
        <v>207</v>
      </c>
      <c r="C72" s="111" t="s">
        <v>208</v>
      </c>
      <c r="D72" s="103"/>
      <c r="E72" s="131"/>
      <c r="F72" s="126"/>
      <c r="G72" s="165"/>
      <c r="H72" s="166"/>
      <c r="I72" s="106"/>
      <c r="J72" s="722"/>
      <c r="K72" s="106"/>
    </row>
    <row r="73" spans="1:11" ht="25.5" x14ac:dyDescent="0.25">
      <c r="A73" s="910">
        <v>66</v>
      </c>
      <c r="B73" s="37" t="s">
        <v>209</v>
      </c>
      <c r="C73" s="111" t="s">
        <v>210</v>
      </c>
      <c r="D73" s="103"/>
      <c r="E73" s="131"/>
      <c r="F73" s="126"/>
      <c r="G73" s="165"/>
      <c r="H73" s="166"/>
      <c r="I73" s="106"/>
      <c r="J73" s="722"/>
      <c r="K73" s="106"/>
    </row>
    <row r="74" spans="1:11" ht="25.5" x14ac:dyDescent="0.25">
      <c r="A74" s="910">
        <v>67</v>
      </c>
      <c r="B74" s="46" t="s">
        <v>211</v>
      </c>
      <c r="C74" s="111" t="s">
        <v>212</v>
      </c>
      <c r="D74" s="103"/>
      <c r="E74" s="131"/>
      <c r="F74" s="126"/>
      <c r="G74" s="165"/>
      <c r="H74" s="166"/>
      <c r="I74" s="106"/>
      <c r="J74" s="722"/>
      <c r="K74" s="106"/>
    </row>
    <row r="75" spans="1:11" ht="25.5" x14ac:dyDescent="0.25">
      <c r="A75" s="910">
        <v>68</v>
      </c>
      <c r="B75" s="37" t="s">
        <v>213</v>
      </c>
      <c r="C75" s="111" t="s">
        <v>214</v>
      </c>
      <c r="D75" s="103"/>
      <c r="E75" s="131"/>
      <c r="F75" s="126"/>
      <c r="G75" s="165"/>
      <c r="H75" s="166"/>
      <c r="I75" s="106"/>
      <c r="J75" s="722"/>
      <c r="K75" s="106"/>
    </row>
    <row r="76" spans="1:11" ht="25.5" x14ac:dyDescent="0.25">
      <c r="A76" s="910">
        <v>69</v>
      </c>
      <c r="B76" s="46" t="s">
        <v>215</v>
      </c>
      <c r="C76" s="111" t="s">
        <v>216</v>
      </c>
      <c r="D76" s="103"/>
      <c r="E76" s="131"/>
      <c r="F76" s="126"/>
      <c r="G76" s="165"/>
      <c r="H76" s="166"/>
      <c r="I76" s="106"/>
      <c r="J76" s="722"/>
      <c r="K76" s="106"/>
    </row>
    <row r="77" spans="1:11" x14ac:dyDescent="0.25">
      <c r="A77" s="910">
        <v>70</v>
      </c>
      <c r="B77" s="37" t="s">
        <v>217</v>
      </c>
      <c r="C77" s="111" t="s">
        <v>218</v>
      </c>
      <c r="D77" s="103"/>
      <c r="E77" s="131"/>
      <c r="F77" s="126"/>
      <c r="G77" s="165"/>
      <c r="H77" s="166"/>
      <c r="I77" s="106"/>
      <c r="J77" s="722"/>
      <c r="K77" s="106"/>
    </row>
    <row r="78" spans="1:11" x14ac:dyDescent="0.25">
      <c r="A78" s="910">
        <v>71</v>
      </c>
      <c r="B78" s="46" t="s">
        <v>50</v>
      </c>
      <c r="C78" s="111" t="s">
        <v>219</v>
      </c>
      <c r="D78" s="103"/>
      <c r="E78" s="131"/>
      <c r="F78" s="126"/>
      <c r="G78" s="165"/>
      <c r="H78" s="166"/>
      <c r="I78" s="106"/>
      <c r="J78" s="722"/>
      <c r="K78" s="106"/>
    </row>
    <row r="79" spans="1:11" x14ac:dyDescent="0.25">
      <c r="A79" s="910">
        <v>72</v>
      </c>
      <c r="B79" s="46" t="s">
        <v>52</v>
      </c>
      <c r="C79" s="111" t="s">
        <v>220</v>
      </c>
      <c r="D79" s="103"/>
      <c r="E79" s="131"/>
      <c r="F79" s="126"/>
      <c r="G79" s="165"/>
      <c r="H79" s="166"/>
      <c r="I79" s="106"/>
      <c r="J79" s="722"/>
      <c r="K79" s="106"/>
    </row>
    <row r="80" spans="1:11" x14ac:dyDescent="0.25">
      <c r="A80" s="910">
        <v>73</v>
      </c>
      <c r="B80" s="37" t="s">
        <v>44</v>
      </c>
      <c r="C80" s="111" t="s">
        <v>221</v>
      </c>
      <c r="D80" s="103"/>
      <c r="E80" s="131"/>
      <c r="F80" s="126"/>
      <c r="G80" s="165"/>
      <c r="H80" s="166"/>
      <c r="I80" s="106"/>
      <c r="J80" s="722"/>
      <c r="K80" s="106"/>
    </row>
    <row r="81" spans="1:11" x14ac:dyDescent="0.25">
      <c r="A81" s="910">
        <v>74</v>
      </c>
      <c r="B81" s="37" t="s">
        <v>54</v>
      </c>
      <c r="C81" s="111" t="s">
        <v>222</v>
      </c>
      <c r="D81" s="103"/>
      <c r="E81" s="131"/>
      <c r="F81" s="126"/>
      <c r="G81" s="165"/>
      <c r="H81" s="166"/>
      <c r="I81" s="106"/>
      <c r="J81" s="722"/>
      <c r="K81" s="106"/>
    </row>
    <row r="82" spans="1:11" x14ac:dyDescent="0.25">
      <c r="A82" s="910">
        <v>75</v>
      </c>
      <c r="B82" s="37" t="s">
        <v>36</v>
      </c>
      <c r="C82" s="111" t="s">
        <v>37</v>
      </c>
      <c r="D82" s="103"/>
      <c r="E82" s="131"/>
      <c r="F82" s="126"/>
      <c r="G82" s="165"/>
      <c r="H82" s="166"/>
      <c r="I82" s="106"/>
      <c r="J82" s="722"/>
      <c r="K82" s="106"/>
    </row>
    <row r="83" spans="1:11" x14ac:dyDescent="0.25">
      <c r="A83" s="910">
        <v>76</v>
      </c>
      <c r="B83" s="37" t="s">
        <v>48</v>
      </c>
      <c r="C83" s="111" t="s">
        <v>223</v>
      </c>
      <c r="D83" s="103"/>
      <c r="E83" s="131"/>
      <c r="F83" s="126"/>
      <c r="G83" s="165"/>
      <c r="H83" s="166"/>
      <c r="I83" s="106"/>
      <c r="J83" s="722"/>
      <c r="K83" s="106"/>
    </row>
    <row r="84" spans="1:11" x14ac:dyDescent="0.25">
      <c r="A84" s="910">
        <v>77</v>
      </c>
      <c r="B84" s="37" t="s">
        <v>224</v>
      </c>
      <c r="C84" s="112" t="s">
        <v>225</v>
      </c>
      <c r="D84" s="103"/>
      <c r="E84" s="131"/>
      <c r="F84" s="126"/>
      <c r="G84" s="165"/>
      <c r="H84" s="166"/>
      <c r="I84" s="106"/>
      <c r="J84" s="722"/>
      <c r="K84" s="106"/>
    </row>
    <row r="85" spans="1:11" x14ac:dyDescent="0.25">
      <c r="A85" s="910">
        <v>78</v>
      </c>
      <c r="B85" s="52" t="s">
        <v>226</v>
      </c>
      <c r="C85" s="112" t="s">
        <v>227</v>
      </c>
      <c r="D85" s="103"/>
      <c r="E85" s="131"/>
      <c r="F85" s="126"/>
      <c r="G85" s="165"/>
      <c r="H85" s="166"/>
      <c r="I85" s="106"/>
      <c r="J85" s="722"/>
      <c r="K85" s="106"/>
    </row>
    <row r="86" spans="1:11" ht="25.5" x14ac:dyDescent="0.25">
      <c r="A86" s="1232">
        <v>79</v>
      </c>
      <c r="B86" s="1216" t="s">
        <v>228</v>
      </c>
      <c r="C86" s="707" t="s">
        <v>229</v>
      </c>
      <c r="D86" s="103"/>
      <c r="E86" s="131"/>
      <c r="F86" s="126"/>
      <c r="G86" s="165"/>
      <c r="H86" s="166"/>
      <c r="I86" s="106"/>
      <c r="J86" s="722"/>
      <c r="K86" s="106"/>
    </row>
    <row r="87" spans="1:11" ht="51" x14ac:dyDescent="0.25">
      <c r="A87" s="1232"/>
      <c r="B87" s="1217"/>
      <c r="C87" s="112" t="s">
        <v>230</v>
      </c>
      <c r="D87" s="103"/>
      <c r="E87" s="131"/>
      <c r="F87" s="126"/>
      <c r="G87" s="165"/>
      <c r="H87" s="166"/>
      <c r="I87" s="106"/>
      <c r="J87" s="722"/>
      <c r="K87" s="106"/>
    </row>
    <row r="88" spans="1:11" ht="25.5" x14ac:dyDescent="0.25">
      <c r="A88" s="1232"/>
      <c r="B88" s="1217"/>
      <c r="C88" s="112" t="s">
        <v>231</v>
      </c>
      <c r="D88" s="103"/>
      <c r="E88" s="131"/>
      <c r="F88" s="126"/>
      <c r="G88" s="165"/>
      <c r="H88" s="166"/>
      <c r="I88" s="106"/>
      <c r="J88" s="722"/>
      <c r="K88" s="106"/>
    </row>
    <row r="89" spans="1:11" ht="38.25" x14ac:dyDescent="0.25">
      <c r="A89" s="1232"/>
      <c r="B89" s="1218"/>
      <c r="C89" s="708" t="s">
        <v>232</v>
      </c>
      <c r="D89" s="103"/>
      <c r="E89" s="131"/>
      <c r="F89" s="126"/>
      <c r="G89" s="165"/>
      <c r="H89" s="166"/>
      <c r="I89" s="106"/>
      <c r="J89" s="722"/>
      <c r="K89" s="106"/>
    </row>
    <row r="90" spans="1:11" ht="25.5" x14ac:dyDescent="0.25">
      <c r="A90" s="910">
        <v>80</v>
      </c>
      <c r="B90" s="46" t="s">
        <v>233</v>
      </c>
      <c r="C90" s="111" t="s">
        <v>234</v>
      </c>
      <c r="D90" s="103"/>
      <c r="E90" s="131"/>
      <c r="F90" s="126"/>
      <c r="G90" s="165"/>
      <c r="H90" s="166"/>
      <c r="I90" s="106"/>
      <c r="J90" s="722"/>
      <c r="K90" s="106"/>
    </row>
    <row r="91" spans="1:11" x14ac:dyDescent="0.25">
      <c r="A91" s="910">
        <v>81</v>
      </c>
      <c r="B91" s="37" t="s">
        <v>235</v>
      </c>
      <c r="C91" s="111" t="s">
        <v>236</v>
      </c>
      <c r="D91" s="103"/>
      <c r="E91" s="131"/>
      <c r="F91" s="126"/>
      <c r="G91" s="165"/>
      <c r="H91" s="166"/>
      <c r="I91" s="106"/>
      <c r="J91" s="722"/>
      <c r="K91" s="106"/>
    </row>
    <row r="92" spans="1:11" x14ac:dyDescent="0.25">
      <c r="A92" s="910">
        <v>82</v>
      </c>
      <c r="B92" s="46" t="s">
        <v>74</v>
      </c>
      <c r="C92" s="111" t="s">
        <v>237</v>
      </c>
      <c r="D92" s="103"/>
      <c r="E92" s="131"/>
      <c r="F92" s="126"/>
      <c r="G92" s="165"/>
      <c r="H92" s="166"/>
      <c r="I92" s="106"/>
      <c r="J92" s="722"/>
      <c r="K92" s="106"/>
    </row>
    <row r="93" spans="1:11" x14ac:dyDescent="0.25">
      <c r="A93" s="910">
        <v>83</v>
      </c>
      <c r="B93" s="48" t="s">
        <v>38</v>
      </c>
      <c r="C93" s="111" t="s">
        <v>39</v>
      </c>
      <c r="D93" s="103">
        <v>2475</v>
      </c>
      <c r="E93" s="131"/>
      <c r="F93" s="126">
        <f t="shared" ref="F93:F107" si="5">D93+E93</f>
        <v>2475</v>
      </c>
      <c r="G93" s="165">
        <v>413</v>
      </c>
      <c r="H93" s="166"/>
      <c r="I93" s="106"/>
      <c r="J93" s="722"/>
      <c r="K93" s="106"/>
    </row>
    <row r="94" spans="1:11" x14ac:dyDescent="0.25">
      <c r="A94" s="910">
        <v>84</v>
      </c>
      <c r="B94" s="37" t="s">
        <v>40</v>
      </c>
      <c r="C94" s="111" t="s">
        <v>41</v>
      </c>
      <c r="D94" s="103">
        <v>3375</v>
      </c>
      <c r="E94" s="131"/>
      <c r="F94" s="126">
        <f t="shared" si="5"/>
        <v>3375</v>
      </c>
      <c r="G94" s="165">
        <v>562</v>
      </c>
      <c r="H94" s="166"/>
      <c r="I94" s="106"/>
      <c r="J94" s="722"/>
      <c r="K94" s="106"/>
    </row>
    <row r="95" spans="1:11" x14ac:dyDescent="0.25">
      <c r="A95" s="910">
        <v>85</v>
      </c>
      <c r="B95" s="37" t="s">
        <v>238</v>
      </c>
      <c r="C95" s="111" t="s">
        <v>239</v>
      </c>
      <c r="D95" s="103">
        <v>6450</v>
      </c>
      <c r="E95" s="131"/>
      <c r="F95" s="126">
        <f t="shared" si="5"/>
        <v>6450</v>
      </c>
      <c r="G95" s="165">
        <v>1075</v>
      </c>
      <c r="H95" s="166"/>
      <c r="I95" s="106"/>
      <c r="J95" s="722"/>
      <c r="K95" s="106"/>
    </row>
    <row r="96" spans="1:11" x14ac:dyDescent="0.25">
      <c r="A96" s="910">
        <v>86</v>
      </c>
      <c r="B96" s="48" t="s">
        <v>240</v>
      </c>
      <c r="C96" s="111" t="s">
        <v>241</v>
      </c>
      <c r="D96" s="103">
        <v>3375</v>
      </c>
      <c r="E96" s="131"/>
      <c r="F96" s="126">
        <f t="shared" si="5"/>
        <v>3375</v>
      </c>
      <c r="G96" s="165">
        <v>562</v>
      </c>
      <c r="H96" s="166"/>
      <c r="I96" s="106"/>
      <c r="J96" s="722"/>
      <c r="K96" s="106"/>
    </row>
    <row r="97" spans="1:11" x14ac:dyDescent="0.25">
      <c r="A97" s="910">
        <v>87</v>
      </c>
      <c r="B97" s="37" t="s">
        <v>88</v>
      </c>
      <c r="C97" s="111" t="s">
        <v>89</v>
      </c>
      <c r="D97" s="103">
        <v>3750</v>
      </c>
      <c r="E97" s="131"/>
      <c r="F97" s="126">
        <f t="shared" si="5"/>
        <v>3750</v>
      </c>
      <c r="G97" s="165">
        <v>625</v>
      </c>
      <c r="H97" s="166"/>
      <c r="I97" s="106"/>
      <c r="J97" s="722"/>
      <c r="K97" s="106"/>
    </row>
    <row r="98" spans="1:11" x14ac:dyDescent="0.25">
      <c r="A98" s="910">
        <v>88</v>
      </c>
      <c r="B98" s="48" t="s">
        <v>242</v>
      </c>
      <c r="C98" s="111" t="s">
        <v>243</v>
      </c>
      <c r="D98" s="103">
        <v>6125</v>
      </c>
      <c r="E98" s="131"/>
      <c r="F98" s="126">
        <f t="shared" si="5"/>
        <v>6125</v>
      </c>
      <c r="G98" s="165">
        <v>1028</v>
      </c>
      <c r="H98" s="166"/>
      <c r="I98" s="106"/>
      <c r="J98" s="722"/>
      <c r="K98" s="106"/>
    </row>
    <row r="99" spans="1:11" x14ac:dyDescent="0.25">
      <c r="A99" s="910">
        <v>89</v>
      </c>
      <c r="B99" s="37" t="s">
        <v>244</v>
      </c>
      <c r="C99" s="111" t="s">
        <v>245</v>
      </c>
      <c r="D99" s="103">
        <v>4125</v>
      </c>
      <c r="E99" s="131"/>
      <c r="F99" s="126">
        <f t="shared" si="5"/>
        <v>4125</v>
      </c>
      <c r="G99" s="165">
        <v>687</v>
      </c>
      <c r="H99" s="166"/>
      <c r="I99" s="106"/>
      <c r="J99" s="722"/>
      <c r="K99" s="106"/>
    </row>
    <row r="100" spans="1:11" x14ac:dyDescent="0.25">
      <c r="A100" s="910">
        <v>90</v>
      </c>
      <c r="B100" s="46" t="s">
        <v>246</v>
      </c>
      <c r="C100" s="111" t="s">
        <v>247</v>
      </c>
      <c r="D100" s="103">
        <v>2250</v>
      </c>
      <c r="E100" s="131"/>
      <c r="F100" s="126">
        <f t="shared" si="5"/>
        <v>2250</v>
      </c>
      <c r="G100" s="165">
        <v>375</v>
      </c>
      <c r="H100" s="166"/>
      <c r="I100" s="106"/>
      <c r="J100" s="722"/>
      <c r="K100" s="106"/>
    </row>
    <row r="101" spans="1:11" x14ac:dyDescent="0.25">
      <c r="A101" s="910">
        <v>91</v>
      </c>
      <c r="B101" s="37" t="s">
        <v>248</v>
      </c>
      <c r="C101" s="111" t="s">
        <v>249</v>
      </c>
      <c r="D101" s="103">
        <v>3000</v>
      </c>
      <c r="E101" s="131"/>
      <c r="F101" s="126">
        <f t="shared" si="5"/>
        <v>3000</v>
      </c>
      <c r="G101" s="165">
        <v>500</v>
      </c>
      <c r="H101" s="166"/>
      <c r="I101" s="106"/>
      <c r="J101" s="722"/>
      <c r="K101" s="106"/>
    </row>
    <row r="102" spans="1:11" x14ac:dyDescent="0.25">
      <c r="A102" s="910">
        <v>92</v>
      </c>
      <c r="B102" s="37" t="s">
        <v>250</v>
      </c>
      <c r="C102" s="111" t="s">
        <v>251</v>
      </c>
      <c r="D102" s="103">
        <v>3000</v>
      </c>
      <c r="E102" s="131"/>
      <c r="F102" s="126">
        <f t="shared" si="5"/>
        <v>3000</v>
      </c>
      <c r="G102" s="165">
        <v>500</v>
      </c>
      <c r="H102" s="166"/>
      <c r="I102" s="106"/>
      <c r="J102" s="722"/>
      <c r="K102" s="106"/>
    </row>
    <row r="103" spans="1:11" x14ac:dyDescent="0.25">
      <c r="A103" s="910">
        <v>93</v>
      </c>
      <c r="B103" s="46" t="s">
        <v>32</v>
      </c>
      <c r="C103" s="111" t="s">
        <v>33</v>
      </c>
      <c r="D103" s="103">
        <v>3750</v>
      </c>
      <c r="E103" s="131"/>
      <c r="F103" s="126">
        <f t="shared" si="5"/>
        <v>3750</v>
      </c>
      <c r="G103" s="165">
        <v>625</v>
      </c>
      <c r="H103" s="166"/>
      <c r="I103" s="106"/>
      <c r="J103" s="722"/>
      <c r="K103" s="106"/>
    </row>
    <row r="104" spans="1:11" x14ac:dyDescent="0.25">
      <c r="A104" s="910">
        <v>94</v>
      </c>
      <c r="B104" s="37" t="s">
        <v>252</v>
      </c>
      <c r="C104" s="111" t="s">
        <v>253</v>
      </c>
      <c r="D104" s="103">
        <v>2850</v>
      </c>
      <c r="E104" s="131"/>
      <c r="F104" s="126">
        <f t="shared" si="5"/>
        <v>2850</v>
      </c>
      <c r="G104" s="165">
        <v>475</v>
      </c>
      <c r="H104" s="166"/>
      <c r="I104" s="106"/>
      <c r="J104" s="722"/>
      <c r="K104" s="106"/>
    </row>
    <row r="105" spans="1:11" x14ac:dyDescent="0.25">
      <c r="A105" s="910">
        <v>95</v>
      </c>
      <c r="B105" s="46" t="s">
        <v>254</v>
      </c>
      <c r="C105" s="111" t="s">
        <v>255</v>
      </c>
      <c r="D105" s="103">
        <v>4200</v>
      </c>
      <c r="E105" s="131"/>
      <c r="F105" s="126">
        <f t="shared" si="5"/>
        <v>4200</v>
      </c>
      <c r="G105" s="165">
        <v>700</v>
      </c>
      <c r="H105" s="166"/>
      <c r="I105" s="106"/>
      <c r="J105" s="722"/>
      <c r="K105" s="106"/>
    </row>
    <row r="106" spans="1:11" x14ac:dyDescent="0.25">
      <c r="A106" s="910">
        <v>96</v>
      </c>
      <c r="B106" s="46" t="s">
        <v>256</v>
      </c>
      <c r="C106" s="111" t="s">
        <v>257</v>
      </c>
      <c r="D106" s="103">
        <v>6750</v>
      </c>
      <c r="E106" s="131"/>
      <c r="F106" s="126">
        <f t="shared" si="5"/>
        <v>6750</v>
      </c>
      <c r="G106" s="165">
        <v>1125</v>
      </c>
      <c r="H106" s="166"/>
      <c r="I106" s="106"/>
      <c r="J106" s="722"/>
      <c r="K106" s="106"/>
    </row>
    <row r="107" spans="1:11" x14ac:dyDescent="0.25">
      <c r="A107" s="910">
        <v>97</v>
      </c>
      <c r="B107" s="37" t="s">
        <v>76</v>
      </c>
      <c r="C107" s="111" t="s">
        <v>77</v>
      </c>
      <c r="D107" s="103">
        <v>3225</v>
      </c>
      <c r="E107" s="131"/>
      <c r="F107" s="126">
        <f t="shared" si="5"/>
        <v>3225</v>
      </c>
      <c r="G107" s="165">
        <v>538</v>
      </c>
      <c r="H107" s="166"/>
      <c r="I107" s="106"/>
      <c r="J107" s="722"/>
      <c r="K107" s="106"/>
    </row>
    <row r="108" spans="1:11" x14ac:dyDescent="0.25">
      <c r="A108" s="910">
        <v>98</v>
      </c>
      <c r="B108" s="37" t="s">
        <v>258</v>
      </c>
      <c r="C108" s="111" t="s">
        <v>259</v>
      </c>
      <c r="D108" s="103"/>
      <c r="E108" s="131"/>
      <c r="F108" s="126"/>
      <c r="G108" s="165"/>
      <c r="H108" s="166"/>
      <c r="I108" s="106"/>
      <c r="J108" s="722"/>
      <c r="K108" s="106"/>
    </row>
    <row r="109" spans="1:11" x14ac:dyDescent="0.25">
      <c r="A109" s="910">
        <v>99</v>
      </c>
      <c r="B109" s="37" t="s">
        <v>260</v>
      </c>
      <c r="C109" s="111" t="s">
        <v>261</v>
      </c>
      <c r="D109" s="103"/>
      <c r="E109" s="131"/>
      <c r="F109" s="126"/>
      <c r="G109" s="165"/>
      <c r="H109" s="166"/>
      <c r="I109" s="106"/>
      <c r="J109" s="722"/>
      <c r="K109" s="106"/>
    </row>
    <row r="110" spans="1:11" x14ac:dyDescent="0.25">
      <c r="A110" s="910">
        <v>100</v>
      </c>
      <c r="B110" s="46" t="s">
        <v>264</v>
      </c>
      <c r="C110" s="111" t="s">
        <v>265</v>
      </c>
      <c r="D110" s="103"/>
      <c r="E110" s="131"/>
      <c r="F110" s="126"/>
      <c r="G110" s="165"/>
      <c r="H110" s="166"/>
      <c r="I110" s="106"/>
      <c r="J110" s="722"/>
      <c r="K110" s="106"/>
    </row>
    <row r="111" spans="1:11" x14ac:dyDescent="0.25">
      <c r="A111" s="910">
        <v>101</v>
      </c>
      <c r="B111" s="48" t="s">
        <v>266</v>
      </c>
      <c r="C111" s="111" t="s">
        <v>267</v>
      </c>
      <c r="D111" s="103"/>
      <c r="E111" s="131"/>
      <c r="F111" s="126"/>
      <c r="G111" s="165"/>
      <c r="H111" s="166"/>
      <c r="I111" s="106"/>
      <c r="J111" s="722"/>
      <c r="K111" s="106"/>
    </row>
    <row r="112" spans="1:11" ht="25.5" x14ac:dyDescent="0.25">
      <c r="A112" s="910">
        <v>102</v>
      </c>
      <c r="B112" s="37" t="s">
        <v>268</v>
      </c>
      <c r="C112" s="111" t="s">
        <v>269</v>
      </c>
      <c r="D112" s="103"/>
      <c r="E112" s="131"/>
      <c r="F112" s="126"/>
      <c r="G112" s="165"/>
      <c r="H112" s="166"/>
      <c r="I112" s="106"/>
      <c r="J112" s="722"/>
      <c r="K112" s="106"/>
    </row>
    <row r="113" spans="1:11" x14ac:dyDescent="0.25">
      <c r="A113" s="910">
        <v>103</v>
      </c>
      <c r="B113" s="37" t="s">
        <v>270</v>
      </c>
      <c r="C113" s="111" t="s">
        <v>271</v>
      </c>
      <c r="D113" s="103"/>
      <c r="E113" s="131"/>
      <c r="F113" s="126"/>
      <c r="G113" s="165"/>
      <c r="H113" s="166"/>
      <c r="I113" s="106"/>
      <c r="J113" s="722"/>
      <c r="K113" s="106"/>
    </row>
    <row r="114" spans="1:11" x14ac:dyDescent="0.25">
      <c r="A114" s="910">
        <v>104</v>
      </c>
      <c r="B114" s="46" t="s">
        <v>272</v>
      </c>
      <c r="C114" s="111" t="s">
        <v>273</v>
      </c>
      <c r="D114" s="103"/>
      <c r="E114" s="131"/>
      <c r="F114" s="126"/>
      <c r="G114" s="165"/>
      <c r="H114" s="166"/>
      <c r="I114" s="106"/>
      <c r="J114" s="722"/>
      <c r="K114" s="106"/>
    </row>
    <row r="115" spans="1:11" ht="13.5" customHeight="1" x14ac:dyDescent="0.25">
      <c r="A115" s="910">
        <v>105</v>
      </c>
      <c r="B115" s="46" t="s">
        <v>274</v>
      </c>
      <c r="C115" s="111" t="s">
        <v>275</v>
      </c>
      <c r="D115" s="103"/>
      <c r="E115" s="131"/>
      <c r="F115" s="126"/>
      <c r="G115" s="165"/>
      <c r="H115" s="166"/>
      <c r="I115" s="106"/>
      <c r="J115" s="722"/>
      <c r="K115" s="106"/>
    </row>
    <row r="116" spans="1:11" x14ac:dyDescent="0.25">
      <c r="A116" s="910">
        <v>106</v>
      </c>
      <c r="B116" s="37" t="s">
        <v>276</v>
      </c>
      <c r="C116" s="111" t="s">
        <v>277</v>
      </c>
      <c r="D116" s="103"/>
      <c r="E116" s="131"/>
      <c r="F116" s="126"/>
      <c r="G116" s="165"/>
      <c r="H116" s="166"/>
      <c r="I116" s="106"/>
      <c r="J116" s="722"/>
      <c r="K116" s="106"/>
    </row>
    <row r="117" spans="1:11" x14ac:dyDescent="0.25">
      <c r="A117" s="910">
        <v>107</v>
      </c>
      <c r="B117" s="37" t="s">
        <v>278</v>
      </c>
      <c r="C117" s="111" t="s">
        <v>279</v>
      </c>
      <c r="D117" s="103"/>
      <c r="E117" s="131"/>
      <c r="F117" s="126"/>
      <c r="G117" s="165"/>
      <c r="H117" s="166"/>
      <c r="I117" s="106"/>
      <c r="J117" s="722"/>
      <c r="K117" s="106"/>
    </row>
    <row r="118" spans="1:11" x14ac:dyDescent="0.25">
      <c r="A118" s="910">
        <v>108</v>
      </c>
      <c r="B118" s="37" t="s">
        <v>280</v>
      </c>
      <c r="C118" s="111" t="s">
        <v>281</v>
      </c>
      <c r="D118" s="103"/>
      <c r="E118" s="131"/>
      <c r="F118" s="126"/>
      <c r="G118" s="165"/>
      <c r="H118" s="166"/>
      <c r="I118" s="106"/>
      <c r="J118" s="722"/>
      <c r="K118" s="106"/>
    </row>
    <row r="119" spans="1:11" ht="12.75" customHeight="1" x14ac:dyDescent="0.25">
      <c r="A119" s="910">
        <v>109</v>
      </c>
      <c r="B119" s="911" t="s">
        <v>282</v>
      </c>
      <c r="C119" s="112" t="s">
        <v>283</v>
      </c>
      <c r="D119" s="103"/>
      <c r="E119" s="131"/>
      <c r="F119" s="126"/>
      <c r="G119" s="165"/>
      <c r="H119" s="166"/>
      <c r="I119" s="106"/>
      <c r="J119" s="722"/>
      <c r="K119" s="106"/>
    </row>
    <row r="120" spans="1:11" x14ac:dyDescent="0.25">
      <c r="A120" s="910">
        <v>110</v>
      </c>
      <c r="B120" s="46" t="s">
        <v>284</v>
      </c>
      <c r="C120" s="111" t="s">
        <v>285</v>
      </c>
      <c r="D120" s="103"/>
      <c r="E120" s="131"/>
      <c r="F120" s="126"/>
      <c r="G120" s="165"/>
      <c r="H120" s="166"/>
      <c r="I120" s="106"/>
      <c r="J120" s="722"/>
      <c r="K120" s="106"/>
    </row>
    <row r="121" spans="1:11" x14ac:dyDescent="0.25">
      <c r="A121" s="910">
        <v>111</v>
      </c>
      <c r="B121" s="922" t="s">
        <v>780</v>
      </c>
      <c r="C121" s="112" t="s">
        <v>788</v>
      </c>
      <c r="D121" s="103"/>
      <c r="E121" s="131"/>
      <c r="F121" s="126"/>
      <c r="G121" s="165"/>
      <c r="H121" s="166"/>
      <c r="I121" s="106"/>
      <c r="J121" s="722"/>
      <c r="K121" s="106"/>
    </row>
    <row r="122" spans="1:11" x14ac:dyDescent="0.25">
      <c r="A122" s="910">
        <v>112</v>
      </c>
      <c r="B122" s="46" t="s">
        <v>286</v>
      </c>
      <c r="C122" s="111" t="s">
        <v>287</v>
      </c>
      <c r="D122" s="103"/>
      <c r="E122" s="131"/>
      <c r="F122" s="126"/>
      <c r="G122" s="165"/>
      <c r="H122" s="166"/>
      <c r="I122" s="106"/>
      <c r="J122" s="722"/>
      <c r="K122" s="106"/>
    </row>
    <row r="123" spans="1:11" x14ac:dyDescent="0.25">
      <c r="A123" s="910">
        <v>113</v>
      </c>
      <c r="B123" s="53" t="s">
        <v>288</v>
      </c>
      <c r="C123" s="167" t="s">
        <v>738</v>
      </c>
      <c r="D123" s="103"/>
      <c r="E123" s="131"/>
      <c r="F123" s="126"/>
      <c r="G123" s="165"/>
      <c r="H123" s="166"/>
      <c r="I123" s="106"/>
      <c r="J123" s="722"/>
      <c r="K123" s="106"/>
    </row>
    <row r="124" spans="1:11" x14ac:dyDescent="0.25">
      <c r="A124" s="910">
        <v>114</v>
      </c>
      <c r="B124" s="37" t="s">
        <v>290</v>
      </c>
      <c r="C124" s="111" t="s">
        <v>291</v>
      </c>
      <c r="D124" s="103"/>
      <c r="E124" s="131"/>
      <c r="F124" s="126"/>
      <c r="G124" s="165"/>
      <c r="H124" s="166"/>
      <c r="I124" s="106"/>
      <c r="J124" s="722"/>
      <c r="K124" s="106"/>
    </row>
    <row r="125" spans="1:11" ht="25.5" x14ac:dyDescent="0.25">
      <c r="A125" s="910">
        <v>115</v>
      </c>
      <c r="B125" s="46" t="s">
        <v>292</v>
      </c>
      <c r="C125" s="111" t="s">
        <v>293</v>
      </c>
      <c r="D125" s="103"/>
      <c r="E125" s="131"/>
      <c r="F125" s="126"/>
      <c r="G125" s="165"/>
      <c r="H125" s="166"/>
      <c r="I125" s="106"/>
      <c r="J125" s="722"/>
      <c r="K125" s="106"/>
    </row>
    <row r="126" spans="1:11" x14ac:dyDescent="0.25">
      <c r="A126" s="910">
        <v>116</v>
      </c>
      <c r="B126" s="37" t="s">
        <v>294</v>
      </c>
      <c r="C126" s="111" t="s">
        <v>295</v>
      </c>
      <c r="D126" s="103"/>
      <c r="E126" s="131"/>
      <c r="F126" s="126"/>
      <c r="G126" s="165"/>
      <c r="H126" s="166"/>
      <c r="I126" s="106"/>
      <c r="J126" s="722"/>
      <c r="K126" s="106"/>
    </row>
    <row r="127" spans="1:11" x14ac:dyDescent="0.25">
      <c r="A127" s="910">
        <v>117</v>
      </c>
      <c r="B127" s="46" t="s">
        <v>70</v>
      </c>
      <c r="C127" s="111" t="s">
        <v>296</v>
      </c>
      <c r="D127" s="103"/>
      <c r="E127" s="131"/>
      <c r="F127" s="126"/>
      <c r="G127" s="165"/>
      <c r="H127" s="166"/>
      <c r="I127" s="106"/>
      <c r="J127" s="722"/>
      <c r="K127" s="106"/>
    </row>
    <row r="128" spans="1:11" x14ac:dyDescent="0.25">
      <c r="A128" s="910">
        <v>118</v>
      </c>
      <c r="B128" s="46" t="s">
        <v>72</v>
      </c>
      <c r="C128" s="111" t="s">
        <v>73</v>
      </c>
      <c r="D128" s="103"/>
      <c r="E128" s="131"/>
      <c r="F128" s="126"/>
      <c r="G128" s="165"/>
      <c r="H128" s="166"/>
      <c r="I128" s="106"/>
      <c r="J128" s="722"/>
      <c r="K128" s="106"/>
    </row>
    <row r="129" spans="1:11" x14ac:dyDescent="0.25">
      <c r="A129" s="910">
        <v>119</v>
      </c>
      <c r="B129" s="37" t="s">
        <v>34</v>
      </c>
      <c r="C129" s="111" t="s">
        <v>35</v>
      </c>
      <c r="D129" s="103"/>
      <c r="E129" s="131"/>
      <c r="F129" s="126"/>
      <c r="G129" s="165"/>
      <c r="H129" s="166"/>
      <c r="I129" s="106"/>
      <c r="J129" s="722"/>
      <c r="K129" s="106"/>
    </row>
    <row r="130" spans="1:11" x14ac:dyDescent="0.25">
      <c r="A130" s="910">
        <v>120</v>
      </c>
      <c r="B130" s="46" t="s">
        <v>297</v>
      </c>
      <c r="C130" s="111" t="s">
        <v>298</v>
      </c>
      <c r="D130" s="103"/>
      <c r="E130" s="131"/>
      <c r="F130" s="126"/>
      <c r="G130" s="165"/>
      <c r="H130" s="166"/>
      <c r="I130" s="106"/>
      <c r="J130" s="722"/>
      <c r="K130" s="106"/>
    </row>
    <row r="131" spans="1:11" x14ac:dyDescent="0.25">
      <c r="A131" s="910">
        <v>121</v>
      </c>
      <c r="B131" s="37" t="s">
        <v>299</v>
      </c>
      <c r="C131" s="111" t="s">
        <v>300</v>
      </c>
      <c r="D131" s="103"/>
      <c r="E131" s="131"/>
      <c r="F131" s="126"/>
      <c r="G131" s="165"/>
      <c r="H131" s="166"/>
      <c r="I131" s="106"/>
      <c r="J131" s="722"/>
      <c r="K131" s="106"/>
    </row>
    <row r="132" spans="1:11" x14ac:dyDescent="0.25">
      <c r="A132" s="910">
        <v>122</v>
      </c>
      <c r="B132" s="37" t="s">
        <v>301</v>
      </c>
      <c r="C132" s="111" t="s">
        <v>302</v>
      </c>
      <c r="D132" s="103"/>
      <c r="E132" s="131"/>
      <c r="F132" s="126"/>
      <c r="G132" s="165"/>
      <c r="H132" s="166"/>
      <c r="I132" s="106"/>
      <c r="J132" s="722"/>
      <c r="K132" s="106"/>
    </row>
    <row r="133" spans="1:11" x14ac:dyDescent="0.25">
      <c r="A133" s="910">
        <v>123</v>
      </c>
      <c r="B133" s="46" t="s">
        <v>16</v>
      </c>
      <c r="C133" s="111" t="s">
        <v>17</v>
      </c>
      <c r="D133" s="103"/>
      <c r="E133" s="131"/>
      <c r="F133" s="126"/>
      <c r="G133" s="165"/>
      <c r="H133" s="166"/>
      <c r="I133" s="106"/>
      <c r="J133" s="722"/>
      <c r="K133" s="106"/>
    </row>
    <row r="134" spans="1:11" x14ac:dyDescent="0.25">
      <c r="A134" s="910">
        <v>124</v>
      </c>
      <c r="B134" s="46" t="s">
        <v>68</v>
      </c>
      <c r="C134" s="111" t="s">
        <v>69</v>
      </c>
      <c r="D134" s="103"/>
      <c r="E134" s="131"/>
      <c r="F134" s="126"/>
      <c r="G134" s="165"/>
      <c r="H134" s="166"/>
      <c r="I134" s="106"/>
      <c r="J134" s="722"/>
      <c r="K134" s="106"/>
    </row>
    <row r="135" spans="1:11" x14ac:dyDescent="0.25">
      <c r="A135" s="910">
        <v>125</v>
      </c>
      <c r="B135" s="46" t="s">
        <v>60</v>
      </c>
      <c r="C135" s="111" t="s">
        <v>303</v>
      </c>
      <c r="D135" s="103"/>
      <c r="E135" s="131"/>
      <c r="F135" s="126"/>
      <c r="G135" s="165"/>
      <c r="H135" s="166"/>
      <c r="I135" s="106"/>
      <c r="J135" s="722"/>
      <c r="K135" s="106"/>
    </row>
    <row r="136" spans="1:11" x14ac:dyDescent="0.25">
      <c r="A136" s="910">
        <v>126</v>
      </c>
      <c r="B136" s="46" t="s">
        <v>56</v>
      </c>
      <c r="C136" s="111" t="s">
        <v>304</v>
      </c>
      <c r="D136" s="103">
        <f>6750-2670</f>
        <v>4080</v>
      </c>
      <c r="E136" s="131"/>
      <c r="F136" s="126">
        <f>D136+E136</f>
        <v>4080</v>
      </c>
      <c r="G136" s="131">
        <f>1125-441</f>
        <v>684</v>
      </c>
      <c r="H136" s="166"/>
      <c r="I136" s="106"/>
      <c r="J136" s="722"/>
      <c r="K136" s="106"/>
    </row>
    <row r="137" spans="1:11" x14ac:dyDescent="0.25">
      <c r="A137" s="910">
        <v>127</v>
      </c>
      <c r="B137" s="46" t="s">
        <v>305</v>
      </c>
      <c r="C137" s="111" t="s">
        <v>306</v>
      </c>
      <c r="D137" s="103"/>
      <c r="E137" s="131"/>
      <c r="F137" s="126"/>
      <c r="G137" s="131"/>
      <c r="H137" s="166"/>
      <c r="I137" s="106"/>
      <c r="J137" s="722"/>
      <c r="K137" s="106"/>
    </row>
    <row r="138" spans="1:11" x14ac:dyDescent="0.25">
      <c r="A138" s="910">
        <v>128</v>
      </c>
      <c r="B138" s="37" t="s">
        <v>307</v>
      </c>
      <c r="C138" s="111" t="s">
        <v>308</v>
      </c>
      <c r="D138" s="103"/>
      <c r="E138" s="131"/>
      <c r="F138" s="126"/>
      <c r="G138" s="131"/>
      <c r="H138" s="166"/>
      <c r="I138" s="106"/>
      <c r="J138" s="722"/>
      <c r="K138" s="106"/>
    </row>
    <row r="139" spans="1:11" x14ac:dyDescent="0.25">
      <c r="A139" s="910">
        <v>129</v>
      </c>
      <c r="B139" s="46" t="s">
        <v>309</v>
      </c>
      <c r="C139" s="174" t="s">
        <v>310</v>
      </c>
      <c r="D139" s="103"/>
      <c r="E139" s="131"/>
      <c r="F139" s="126"/>
      <c r="G139" s="104"/>
      <c r="H139" s="723"/>
      <c r="I139" s="106"/>
      <c r="J139" s="722"/>
      <c r="K139" s="106"/>
    </row>
    <row r="140" spans="1:11" x14ac:dyDescent="0.25">
      <c r="A140" s="910">
        <v>130</v>
      </c>
      <c r="B140" s="58" t="s">
        <v>311</v>
      </c>
      <c r="C140" s="709" t="s">
        <v>312</v>
      </c>
      <c r="D140" s="103"/>
      <c r="E140" s="131"/>
      <c r="F140" s="126"/>
      <c r="G140" s="104"/>
      <c r="H140" s="723"/>
      <c r="I140" s="106"/>
      <c r="J140" s="722"/>
      <c r="K140" s="106"/>
    </row>
    <row r="141" spans="1:11" x14ac:dyDescent="0.25">
      <c r="A141" s="910">
        <v>131</v>
      </c>
      <c r="B141" s="59" t="s">
        <v>313</v>
      </c>
      <c r="C141" s="113" t="s">
        <v>314</v>
      </c>
      <c r="D141" s="103"/>
      <c r="E141" s="131"/>
      <c r="F141" s="126"/>
      <c r="G141" s="104"/>
      <c r="H141" s="723"/>
      <c r="I141" s="106"/>
      <c r="J141" s="109"/>
      <c r="K141" s="106"/>
    </row>
    <row r="142" spans="1:11" x14ac:dyDescent="0.25">
      <c r="A142" s="910">
        <v>132</v>
      </c>
      <c r="B142" s="61" t="s">
        <v>315</v>
      </c>
      <c r="C142" s="695" t="s">
        <v>316</v>
      </c>
      <c r="D142" s="169">
        <f>419945+2670</f>
        <v>422615</v>
      </c>
      <c r="E142" s="135">
        <v>99924</v>
      </c>
      <c r="F142" s="170">
        <f>D142+E142</f>
        <v>522539</v>
      </c>
      <c r="G142" s="724">
        <f>151965+441</f>
        <v>152406</v>
      </c>
      <c r="H142" s="109">
        <v>6603</v>
      </c>
      <c r="I142" s="106">
        <v>526080</v>
      </c>
      <c r="J142" s="725">
        <v>799</v>
      </c>
      <c r="K142" s="171">
        <v>41540</v>
      </c>
    </row>
    <row r="143" spans="1:11" x14ac:dyDescent="0.25">
      <c r="A143" s="910">
        <v>133</v>
      </c>
      <c r="B143" s="63" t="s">
        <v>317</v>
      </c>
      <c r="C143" s="696" t="s">
        <v>318</v>
      </c>
      <c r="D143" s="103"/>
      <c r="E143" s="131"/>
      <c r="F143" s="126"/>
      <c r="G143" s="104"/>
      <c r="H143" s="723"/>
      <c r="I143" s="106"/>
      <c r="J143" s="110"/>
      <c r="K143" s="106"/>
    </row>
    <row r="144" spans="1:11" x14ac:dyDescent="0.25">
      <c r="A144" s="910">
        <v>134</v>
      </c>
      <c r="B144" s="65" t="s">
        <v>319</v>
      </c>
      <c r="C144" s="64" t="s">
        <v>320</v>
      </c>
      <c r="D144" s="103"/>
      <c r="E144" s="131"/>
      <c r="F144" s="126"/>
      <c r="G144" s="104"/>
      <c r="H144" s="723"/>
      <c r="I144" s="106"/>
      <c r="J144" s="110"/>
      <c r="K144" s="106"/>
    </row>
    <row r="145" spans="1:11" s="94" customFormat="1" ht="13.5" thickBot="1" x14ac:dyDescent="0.3">
      <c r="A145" s="761">
        <v>135</v>
      </c>
      <c r="B145" s="762" t="s">
        <v>728</v>
      </c>
      <c r="C145" s="921" t="s">
        <v>729</v>
      </c>
      <c r="D145" s="711"/>
      <c r="E145" s="712"/>
      <c r="F145" s="712"/>
      <c r="G145" s="715"/>
      <c r="H145" s="716"/>
      <c r="I145" s="715"/>
      <c r="J145" s="716"/>
      <c r="K145" s="715"/>
    </row>
    <row r="146" spans="1:11" x14ac:dyDescent="0.25">
      <c r="H146" s="139"/>
      <c r="I146" s="94"/>
      <c r="J146" s="139"/>
      <c r="K146" s="94"/>
    </row>
  </sheetData>
  <mergeCells count="12">
    <mergeCell ref="A1:K1"/>
    <mergeCell ref="A3:A4"/>
    <mergeCell ref="B3:B4"/>
    <mergeCell ref="C3:C4"/>
    <mergeCell ref="D3:G3"/>
    <mergeCell ref="H3:I3"/>
    <mergeCell ref="J3:K3"/>
    <mergeCell ref="A5:C5"/>
    <mergeCell ref="A6:C6"/>
    <mergeCell ref="A7:C7"/>
    <mergeCell ref="A86:A89"/>
    <mergeCell ref="B86:B89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  <pageSetUpPr fitToPage="1"/>
  </sheetPr>
  <dimension ref="A1:L62"/>
  <sheetViews>
    <sheetView showZeros="0" zoomScaleNormal="100" workbookViewId="0">
      <pane xSplit="3" ySplit="7" topLeftCell="D35" activePane="bottomRight" state="frozen"/>
      <selection pane="topRight" activeCell="D1" sqref="D1"/>
      <selection pane="bottomLeft" activeCell="A8" sqref="A8"/>
      <selection pane="bottomRight" activeCell="J45" sqref="J45:K45"/>
    </sheetView>
  </sheetViews>
  <sheetFormatPr defaultRowHeight="15" x14ac:dyDescent="0.25"/>
  <cols>
    <col min="1" max="1" width="4.42578125" style="468" customWidth="1"/>
    <col min="2" max="2" width="8.5703125" style="469" customWidth="1"/>
    <col min="3" max="3" width="41.42578125" style="470" bestFit="1" customWidth="1"/>
    <col min="4" max="4" width="12.28515625" style="470" customWidth="1"/>
    <col min="5" max="5" width="10.5703125" style="471" customWidth="1"/>
    <col min="6" max="6" width="11" style="471" customWidth="1"/>
    <col min="7" max="7" width="15" style="471" customWidth="1"/>
    <col min="8" max="8" width="10.85546875" style="471" customWidth="1"/>
    <col min="9" max="9" width="10.42578125" style="471" customWidth="1"/>
    <col min="10" max="10" width="9" style="471" customWidth="1"/>
    <col min="11" max="12" width="13.85546875" style="471" customWidth="1"/>
    <col min="13" max="13" width="11.85546875" style="444" customWidth="1"/>
    <col min="14" max="16384" width="9.140625" style="444"/>
  </cols>
  <sheetData>
    <row r="1" spans="1:12" ht="22.5" customHeight="1" x14ac:dyDescent="0.25">
      <c r="A1" s="1269" t="s">
        <v>591</v>
      </c>
      <c r="B1" s="1269"/>
      <c r="C1" s="1269"/>
      <c r="D1" s="1269"/>
      <c r="E1" s="1269"/>
      <c r="F1" s="1269"/>
      <c r="G1" s="1269"/>
      <c r="H1" s="1269"/>
      <c r="I1" s="1269"/>
      <c r="J1" s="1269"/>
      <c r="K1" s="1269"/>
      <c r="L1" s="1269"/>
    </row>
    <row r="2" spans="1:12" x14ac:dyDescent="0.25">
      <c r="A2" s="445"/>
      <c r="B2" s="446"/>
      <c r="C2" s="447"/>
      <c r="D2" s="447"/>
      <c r="E2" s="448"/>
      <c r="F2" s="448"/>
      <c r="G2" s="448"/>
      <c r="H2" s="448"/>
      <c r="I2" s="448"/>
      <c r="J2" s="448"/>
      <c r="K2" s="448"/>
      <c r="L2" s="448"/>
    </row>
    <row r="3" spans="1:12" ht="15.75" customHeight="1" x14ac:dyDescent="0.25">
      <c r="A3" s="1270" t="s">
        <v>0</v>
      </c>
      <c r="B3" s="1271" t="s">
        <v>1</v>
      </c>
      <c r="C3" s="1270" t="s">
        <v>93</v>
      </c>
      <c r="D3" s="1273" t="s">
        <v>592</v>
      </c>
      <c r="E3" s="1274"/>
      <c r="F3" s="1274"/>
      <c r="G3" s="1274"/>
      <c r="H3" s="1275"/>
      <c r="I3" s="1276" t="s">
        <v>593</v>
      </c>
      <c r="J3" s="1277"/>
      <c r="K3" s="1277"/>
      <c r="L3" s="1278"/>
    </row>
    <row r="4" spans="1:12" ht="28.5" customHeight="1" x14ac:dyDescent="0.25">
      <c r="A4" s="1270"/>
      <c r="B4" s="1272"/>
      <c r="C4" s="1270"/>
      <c r="D4" s="766" t="s">
        <v>594</v>
      </c>
      <c r="E4" s="449" t="s">
        <v>595</v>
      </c>
      <c r="F4" s="449" t="s">
        <v>596</v>
      </c>
      <c r="G4" s="450" t="s">
        <v>597</v>
      </c>
      <c r="H4" s="450" t="s">
        <v>331</v>
      </c>
      <c r="I4" s="449" t="s">
        <v>595</v>
      </c>
      <c r="J4" s="449" t="s">
        <v>596</v>
      </c>
      <c r="K4" s="450" t="s">
        <v>597</v>
      </c>
      <c r="L4" s="450" t="s">
        <v>331</v>
      </c>
    </row>
    <row r="5" spans="1:12" ht="12.75" customHeight="1" x14ac:dyDescent="0.25">
      <c r="A5" s="766"/>
      <c r="B5" s="767"/>
      <c r="C5" s="451" t="s">
        <v>331</v>
      </c>
      <c r="D5" s="452">
        <f>D6+D7</f>
        <v>11988</v>
      </c>
      <c r="E5" s="453">
        <f t="shared" ref="E5:K5" si="0">E6+E7</f>
        <v>149625</v>
      </c>
      <c r="F5" s="453">
        <f t="shared" si="0"/>
        <v>1297</v>
      </c>
      <c r="G5" s="452">
        <f t="shared" si="0"/>
        <v>33355</v>
      </c>
      <c r="H5" s="452">
        <f t="shared" si="0"/>
        <v>196265</v>
      </c>
      <c r="I5" s="453">
        <f>I6+I7</f>
        <v>62960</v>
      </c>
      <c r="J5" s="453">
        <f t="shared" si="0"/>
        <v>2925</v>
      </c>
      <c r="K5" s="452">
        <f t="shared" si="0"/>
        <v>4816</v>
      </c>
      <c r="L5" s="452">
        <f>L6+L7</f>
        <v>70701</v>
      </c>
    </row>
    <row r="6" spans="1:12" ht="16.5" customHeight="1" x14ac:dyDescent="0.25">
      <c r="A6" s="766"/>
      <c r="B6" s="767"/>
      <c r="C6" s="454" t="s">
        <v>105</v>
      </c>
      <c r="D6" s="455">
        <v>0</v>
      </c>
      <c r="E6" s="455">
        <v>1900</v>
      </c>
      <c r="F6" s="455">
        <v>0</v>
      </c>
      <c r="G6" s="455">
        <v>0</v>
      </c>
      <c r="H6" s="449">
        <f>D6+E6+F6+G6</f>
        <v>1900</v>
      </c>
      <c r="I6" s="449">
        <v>0</v>
      </c>
      <c r="J6" s="449">
        <v>673</v>
      </c>
      <c r="K6" s="449">
        <v>0</v>
      </c>
      <c r="L6" s="449">
        <f>I6+J6+K6</f>
        <v>673</v>
      </c>
    </row>
    <row r="7" spans="1:12" ht="12.75" customHeight="1" x14ac:dyDescent="0.25">
      <c r="A7" s="766"/>
      <c r="B7" s="767"/>
      <c r="C7" s="454" t="s">
        <v>108</v>
      </c>
      <c r="D7" s="452">
        <f>SUM(D8:D56)</f>
        <v>11988</v>
      </c>
      <c r="E7" s="452">
        <f>SUM(E8:E56)</f>
        <v>147725</v>
      </c>
      <c r="F7" s="452">
        <f>SUM(F8:F56)</f>
        <v>1297</v>
      </c>
      <c r="G7" s="452">
        <f>SUM(G8:G56)</f>
        <v>33355</v>
      </c>
      <c r="H7" s="452">
        <f>SUM(H8:H56)</f>
        <v>194365</v>
      </c>
      <c r="I7" s="452">
        <f t="shared" ref="I7:K7" si="1">SUM(I8:I56)</f>
        <v>62960</v>
      </c>
      <c r="J7" s="452">
        <f t="shared" si="1"/>
        <v>2252</v>
      </c>
      <c r="K7" s="452">
        <f t="shared" si="1"/>
        <v>4816</v>
      </c>
      <c r="L7" s="452">
        <f>SUM(L8:L56)</f>
        <v>70028</v>
      </c>
    </row>
    <row r="8" spans="1:12" ht="12.75" customHeight="1" x14ac:dyDescent="0.25">
      <c r="A8" s="456">
        <v>1</v>
      </c>
      <c r="B8" s="457" t="s">
        <v>80</v>
      </c>
      <c r="C8" s="288" t="s">
        <v>81</v>
      </c>
      <c r="D8" s="455">
        <v>0</v>
      </c>
      <c r="E8" s="455">
        <v>3693</v>
      </c>
      <c r="F8" s="455">
        <v>0</v>
      </c>
      <c r="G8" s="455">
        <v>445</v>
      </c>
      <c r="H8" s="449">
        <f>D8+E8+F8+G8</f>
        <v>4138</v>
      </c>
      <c r="I8" s="449"/>
      <c r="J8" s="449"/>
      <c r="K8" s="449"/>
      <c r="L8" s="449">
        <f>I8+J8+K8</f>
        <v>0</v>
      </c>
    </row>
    <row r="9" spans="1:12" ht="12.75" customHeight="1" x14ac:dyDescent="0.25">
      <c r="A9" s="456">
        <v>2</v>
      </c>
      <c r="B9" s="457" t="s">
        <v>117</v>
      </c>
      <c r="C9" s="288" t="s">
        <v>557</v>
      </c>
      <c r="D9" s="455">
        <v>0</v>
      </c>
      <c r="E9" s="455">
        <v>7115</v>
      </c>
      <c r="F9" s="455">
        <v>0</v>
      </c>
      <c r="G9" s="455">
        <v>2268</v>
      </c>
      <c r="H9" s="449">
        <f t="shared" ref="H9:H56" si="2">D9+E9+F9+G9</f>
        <v>9383</v>
      </c>
      <c r="I9" s="449">
        <v>2711</v>
      </c>
      <c r="J9" s="449">
        <v>0</v>
      </c>
      <c r="K9" s="449">
        <v>0</v>
      </c>
      <c r="L9" s="449">
        <f t="shared" ref="L9:L56" si="3">I9+J9+K9</f>
        <v>2711</v>
      </c>
    </row>
    <row r="10" spans="1:12" ht="12.75" customHeight="1" x14ac:dyDescent="0.25">
      <c r="A10" s="456">
        <v>3</v>
      </c>
      <c r="B10" s="457" t="s">
        <v>20</v>
      </c>
      <c r="C10" s="288" t="s">
        <v>21</v>
      </c>
      <c r="D10" s="455">
        <v>0</v>
      </c>
      <c r="E10" s="455">
        <v>2301</v>
      </c>
      <c r="F10" s="455">
        <v>0</v>
      </c>
      <c r="G10" s="455">
        <v>0</v>
      </c>
      <c r="H10" s="449">
        <f t="shared" si="2"/>
        <v>2301</v>
      </c>
      <c r="I10" s="449"/>
      <c r="J10" s="449"/>
      <c r="K10" s="449"/>
      <c r="L10" s="449">
        <f t="shared" si="3"/>
        <v>0</v>
      </c>
    </row>
    <row r="11" spans="1:12" ht="12.75" customHeight="1" x14ac:dyDescent="0.25">
      <c r="A11" s="456">
        <v>4</v>
      </c>
      <c r="B11" s="457" t="s">
        <v>133</v>
      </c>
      <c r="C11" s="288" t="s">
        <v>134</v>
      </c>
      <c r="D11" s="455"/>
      <c r="E11" s="455">
        <v>725</v>
      </c>
      <c r="F11" s="455"/>
      <c r="G11" s="455">
        <v>181</v>
      </c>
      <c r="H11" s="449">
        <f t="shared" si="2"/>
        <v>906</v>
      </c>
      <c r="I11" s="449"/>
      <c r="J11" s="449"/>
      <c r="K11" s="449"/>
      <c r="L11" s="449">
        <f t="shared" si="3"/>
        <v>0</v>
      </c>
    </row>
    <row r="12" spans="1:12" ht="12.75" customHeight="1" x14ac:dyDescent="0.25">
      <c r="A12" s="456">
        <v>5</v>
      </c>
      <c r="B12" s="457" t="s">
        <v>135</v>
      </c>
      <c r="C12" s="288" t="s">
        <v>136</v>
      </c>
      <c r="D12" s="455">
        <v>0</v>
      </c>
      <c r="E12" s="455">
        <v>1664</v>
      </c>
      <c r="F12" s="455">
        <v>30</v>
      </c>
      <c r="G12" s="455">
        <v>448</v>
      </c>
      <c r="H12" s="449">
        <f t="shared" si="2"/>
        <v>2142</v>
      </c>
      <c r="I12" s="449"/>
      <c r="J12" s="449"/>
      <c r="K12" s="449"/>
      <c r="L12" s="449">
        <f t="shared" si="3"/>
        <v>0</v>
      </c>
    </row>
    <row r="13" spans="1:12" ht="12.75" customHeight="1" x14ac:dyDescent="0.25">
      <c r="A13" s="456">
        <v>6</v>
      </c>
      <c r="B13" s="457" t="s">
        <v>30</v>
      </c>
      <c r="C13" s="288" t="s">
        <v>31</v>
      </c>
      <c r="D13" s="455">
        <v>0</v>
      </c>
      <c r="E13" s="455">
        <v>3711</v>
      </c>
      <c r="F13" s="455">
        <v>0</v>
      </c>
      <c r="G13" s="455">
        <v>1426</v>
      </c>
      <c r="H13" s="449">
        <f t="shared" si="2"/>
        <v>5137</v>
      </c>
      <c r="I13" s="449">
        <v>1909</v>
      </c>
      <c r="J13" s="449">
        <v>0</v>
      </c>
      <c r="K13" s="449">
        <v>0</v>
      </c>
      <c r="L13" s="449">
        <f t="shared" si="3"/>
        <v>1909</v>
      </c>
    </row>
    <row r="14" spans="1:12" ht="12.75" customHeight="1" x14ac:dyDescent="0.25">
      <c r="A14" s="456">
        <v>7</v>
      </c>
      <c r="B14" s="457" t="s">
        <v>84</v>
      </c>
      <c r="C14" s="288" t="s">
        <v>598</v>
      </c>
      <c r="D14" s="455">
        <v>0</v>
      </c>
      <c r="E14" s="455">
        <v>1755</v>
      </c>
      <c r="F14" s="455">
        <v>0</v>
      </c>
      <c r="G14" s="455">
        <v>0</v>
      </c>
      <c r="H14" s="449">
        <f t="shared" si="2"/>
        <v>1755</v>
      </c>
      <c r="I14" s="449"/>
      <c r="J14" s="449"/>
      <c r="K14" s="449"/>
      <c r="L14" s="449">
        <f t="shared" si="3"/>
        <v>0</v>
      </c>
    </row>
    <row r="15" spans="1:12" ht="12.75" customHeight="1" x14ac:dyDescent="0.25">
      <c r="A15" s="456">
        <v>8</v>
      </c>
      <c r="B15" s="457" t="s">
        <v>141</v>
      </c>
      <c r="C15" s="288" t="s">
        <v>142</v>
      </c>
      <c r="D15" s="455">
        <v>0</v>
      </c>
      <c r="E15" s="455">
        <v>2414</v>
      </c>
      <c r="F15" s="455">
        <v>40</v>
      </c>
      <c r="G15" s="455">
        <v>593</v>
      </c>
      <c r="H15" s="449">
        <f t="shared" si="2"/>
        <v>3047</v>
      </c>
      <c r="I15" s="449">
        <v>901</v>
      </c>
      <c r="J15" s="449">
        <v>292</v>
      </c>
      <c r="K15" s="449">
        <v>59</v>
      </c>
      <c r="L15" s="449">
        <f t="shared" si="3"/>
        <v>1252</v>
      </c>
    </row>
    <row r="16" spans="1:12" ht="12.75" customHeight="1" x14ac:dyDescent="0.25">
      <c r="A16" s="456">
        <v>9</v>
      </c>
      <c r="B16" s="457" t="s">
        <v>145</v>
      </c>
      <c r="C16" s="288" t="s">
        <v>599</v>
      </c>
      <c r="D16" s="455">
        <v>0</v>
      </c>
      <c r="E16" s="455">
        <v>0</v>
      </c>
      <c r="F16" s="455">
        <v>0</v>
      </c>
      <c r="G16" s="455">
        <v>0</v>
      </c>
      <c r="H16" s="449">
        <f t="shared" si="2"/>
        <v>0</v>
      </c>
      <c r="I16" s="449">
        <v>901</v>
      </c>
      <c r="J16" s="449">
        <v>292</v>
      </c>
      <c r="K16" s="449">
        <v>59</v>
      </c>
      <c r="L16" s="449">
        <f t="shared" si="3"/>
        <v>1252</v>
      </c>
    </row>
    <row r="17" spans="1:12" ht="12.75" customHeight="1" x14ac:dyDescent="0.25">
      <c r="A17" s="456">
        <v>10</v>
      </c>
      <c r="B17" s="457" t="s">
        <v>149</v>
      </c>
      <c r="C17" s="288" t="s">
        <v>600</v>
      </c>
      <c r="D17" s="455">
        <v>0</v>
      </c>
      <c r="E17" s="455">
        <v>8806</v>
      </c>
      <c r="F17" s="455">
        <v>134</v>
      </c>
      <c r="G17" s="455">
        <v>1722</v>
      </c>
      <c r="H17" s="449">
        <f t="shared" si="2"/>
        <v>10662</v>
      </c>
      <c r="I17" s="449">
        <v>3049</v>
      </c>
      <c r="J17" s="449">
        <v>116</v>
      </c>
      <c r="K17" s="449">
        <v>0</v>
      </c>
      <c r="L17" s="449">
        <f t="shared" si="3"/>
        <v>3165</v>
      </c>
    </row>
    <row r="18" spans="1:12" ht="12.75" customHeight="1" x14ac:dyDescent="0.25">
      <c r="A18" s="456">
        <v>11</v>
      </c>
      <c r="B18" s="457" t="s">
        <v>157</v>
      </c>
      <c r="C18" s="288" t="s">
        <v>601</v>
      </c>
      <c r="D18" s="455">
        <v>0</v>
      </c>
      <c r="E18" s="455">
        <v>2758</v>
      </c>
      <c r="F18" s="455">
        <v>0</v>
      </c>
      <c r="G18" s="455">
        <v>702</v>
      </c>
      <c r="H18" s="449">
        <f t="shared" si="2"/>
        <v>3460</v>
      </c>
      <c r="I18" s="449"/>
      <c r="J18" s="449"/>
      <c r="K18" s="449"/>
      <c r="L18" s="449">
        <f t="shared" si="3"/>
        <v>0</v>
      </c>
    </row>
    <row r="19" spans="1:12" ht="12.75" customHeight="1" x14ac:dyDescent="0.25">
      <c r="A19" s="456">
        <v>12</v>
      </c>
      <c r="B19" s="457" t="s">
        <v>46</v>
      </c>
      <c r="C19" s="288" t="s">
        <v>495</v>
      </c>
      <c r="D19" s="455">
        <v>0</v>
      </c>
      <c r="E19" s="455">
        <v>4345</v>
      </c>
      <c r="F19" s="455">
        <v>75</v>
      </c>
      <c r="G19" s="455">
        <v>0</v>
      </c>
      <c r="H19" s="449">
        <f t="shared" si="2"/>
        <v>4420</v>
      </c>
      <c r="I19" s="449"/>
      <c r="J19" s="449"/>
      <c r="K19" s="449"/>
      <c r="L19" s="449">
        <f t="shared" si="3"/>
        <v>0</v>
      </c>
    </row>
    <row r="20" spans="1:12" ht="12.75" customHeight="1" x14ac:dyDescent="0.25">
      <c r="A20" s="456">
        <v>13</v>
      </c>
      <c r="B20" s="457" t="s">
        <v>58</v>
      </c>
      <c r="C20" s="288" t="s">
        <v>59</v>
      </c>
      <c r="D20" s="455">
        <v>0</v>
      </c>
      <c r="E20" s="455">
        <v>3005</v>
      </c>
      <c r="F20" s="455">
        <v>52</v>
      </c>
      <c r="G20" s="455">
        <v>0</v>
      </c>
      <c r="H20" s="449">
        <f t="shared" si="2"/>
        <v>3057</v>
      </c>
      <c r="I20" s="449"/>
      <c r="J20" s="449"/>
      <c r="K20" s="449"/>
      <c r="L20" s="449">
        <f t="shared" si="3"/>
        <v>0</v>
      </c>
    </row>
    <row r="21" spans="1:12" ht="12.75" customHeight="1" x14ac:dyDescent="0.25">
      <c r="A21" s="456">
        <v>14</v>
      </c>
      <c r="B21" s="457" t="s">
        <v>82</v>
      </c>
      <c r="C21" s="288" t="s">
        <v>83</v>
      </c>
      <c r="D21" s="455">
        <v>0</v>
      </c>
      <c r="E21" s="455">
        <v>3211</v>
      </c>
      <c r="F21" s="455">
        <v>0</v>
      </c>
      <c r="G21" s="455">
        <v>823</v>
      </c>
      <c r="H21" s="449">
        <f t="shared" si="2"/>
        <v>4034</v>
      </c>
      <c r="I21" s="449"/>
      <c r="J21" s="449"/>
      <c r="K21" s="449"/>
      <c r="L21" s="449">
        <f t="shared" si="3"/>
        <v>0</v>
      </c>
    </row>
    <row r="22" spans="1:12" ht="12.75" customHeight="1" x14ac:dyDescent="0.25">
      <c r="A22" s="456">
        <v>15</v>
      </c>
      <c r="B22" s="457" t="s">
        <v>169</v>
      </c>
      <c r="C22" s="288" t="s">
        <v>602</v>
      </c>
      <c r="D22" s="455">
        <v>0</v>
      </c>
      <c r="E22" s="455">
        <v>570</v>
      </c>
      <c r="F22" s="455">
        <v>8</v>
      </c>
      <c r="G22" s="455">
        <v>114</v>
      </c>
      <c r="H22" s="449">
        <f t="shared" si="2"/>
        <v>692</v>
      </c>
      <c r="I22" s="449">
        <v>217</v>
      </c>
      <c r="J22" s="449">
        <v>0</v>
      </c>
      <c r="K22" s="449">
        <v>0</v>
      </c>
      <c r="L22" s="449">
        <f t="shared" si="3"/>
        <v>217</v>
      </c>
    </row>
    <row r="23" spans="1:12" ht="12.75" customHeight="1" x14ac:dyDescent="0.25">
      <c r="A23" s="456">
        <v>16</v>
      </c>
      <c r="B23" s="457" t="s">
        <v>171</v>
      </c>
      <c r="C23" s="288" t="s">
        <v>500</v>
      </c>
      <c r="D23" s="455">
        <v>0</v>
      </c>
      <c r="E23" s="455">
        <v>2769</v>
      </c>
      <c r="F23" s="455">
        <v>49</v>
      </c>
      <c r="G23" s="455">
        <v>727</v>
      </c>
      <c r="H23" s="449">
        <f t="shared" si="2"/>
        <v>3545</v>
      </c>
      <c r="I23" s="449">
        <v>2774</v>
      </c>
      <c r="J23" s="449">
        <v>41</v>
      </c>
      <c r="K23" s="449">
        <v>81</v>
      </c>
      <c r="L23" s="449">
        <f t="shared" si="3"/>
        <v>2896</v>
      </c>
    </row>
    <row r="24" spans="1:12" ht="12.75" customHeight="1" x14ac:dyDescent="0.25">
      <c r="A24" s="456">
        <v>17</v>
      </c>
      <c r="B24" s="457" t="s">
        <v>173</v>
      </c>
      <c r="C24" s="288" t="s">
        <v>174</v>
      </c>
      <c r="D24" s="455">
        <v>0</v>
      </c>
      <c r="E24" s="455">
        <v>2248</v>
      </c>
      <c r="F24" s="455">
        <v>39</v>
      </c>
      <c r="G24" s="455">
        <v>0</v>
      </c>
      <c r="H24" s="449">
        <f t="shared" si="2"/>
        <v>2287</v>
      </c>
      <c r="I24" s="449"/>
      <c r="J24" s="449"/>
      <c r="K24" s="449"/>
      <c r="L24" s="449">
        <f t="shared" si="3"/>
        <v>0</v>
      </c>
    </row>
    <row r="25" spans="1:12" ht="12.75" customHeight="1" x14ac:dyDescent="0.25">
      <c r="A25" s="456">
        <v>18</v>
      </c>
      <c r="B25" s="457" t="s">
        <v>177</v>
      </c>
      <c r="C25" s="288" t="s">
        <v>178</v>
      </c>
      <c r="D25" s="455">
        <v>0</v>
      </c>
      <c r="E25" s="455">
        <v>945</v>
      </c>
      <c r="F25" s="455">
        <v>0</v>
      </c>
      <c r="G25" s="455">
        <v>0</v>
      </c>
      <c r="H25" s="449">
        <f t="shared" si="2"/>
        <v>945</v>
      </c>
      <c r="I25" s="449"/>
      <c r="J25" s="449"/>
      <c r="K25" s="449"/>
      <c r="L25" s="449">
        <f t="shared" si="3"/>
        <v>0</v>
      </c>
    </row>
    <row r="26" spans="1:12" ht="12.75" customHeight="1" x14ac:dyDescent="0.25">
      <c r="A26" s="456">
        <v>19</v>
      </c>
      <c r="B26" s="457" t="s">
        <v>185</v>
      </c>
      <c r="C26" s="288" t="s">
        <v>186</v>
      </c>
      <c r="D26" s="455">
        <v>0</v>
      </c>
      <c r="E26" s="455">
        <v>4511</v>
      </c>
      <c r="F26" s="455">
        <v>0</v>
      </c>
      <c r="G26" s="455">
        <v>0</v>
      </c>
      <c r="H26" s="449">
        <f t="shared" si="2"/>
        <v>4511</v>
      </c>
      <c r="I26" s="449"/>
      <c r="J26" s="449"/>
      <c r="K26" s="449"/>
      <c r="L26" s="449">
        <f t="shared" si="3"/>
        <v>0</v>
      </c>
    </row>
    <row r="27" spans="1:12" ht="12.75" customHeight="1" x14ac:dyDescent="0.25">
      <c r="A27" s="456">
        <v>20</v>
      </c>
      <c r="B27" s="457" t="s">
        <v>64</v>
      </c>
      <c r="C27" s="288" t="s">
        <v>65</v>
      </c>
      <c r="D27" s="455">
        <v>0</v>
      </c>
      <c r="E27" s="455">
        <v>1711</v>
      </c>
      <c r="F27" s="455">
        <v>0</v>
      </c>
      <c r="G27" s="455">
        <v>0</v>
      </c>
      <c r="H27" s="449">
        <f t="shared" si="2"/>
        <v>1711</v>
      </c>
      <c r="I27" s="449"/>
      <c r="J27" s="449"/>
      <c r="K27" s="449"/>
      <c r="L27" s="449">
        <f t="shared" si="3"/>
        <v>0</v>
      </c>
    </row>
    <row r="28" spans="1:12" ht="12.75" customHeight="1" x14ac:dyDescent="0.25">
      <c r="A28" s="456">
        <v>21</v>
      </c>
      <c r="B28" s="457" t="s">
        <v>217</v>
      </c>
      <c r="C28" s="288" t="s">
        <v>603</v>
      </c>
      <c r="D28" s="455">
        <v>0</v>
      </c>
      <c r="E28" s="455">
        <v>2233</v>
      </c>
      <c r="F28" s="455">
        <v>40</v>
      </c>
      <c r="G28" s="455">
        <v>0</v>
      </c>
      <c r="H28" s="449">
        <f t="shared" si="2"/>
        <v>2273</v>
      </c>
      <c r="I28" s="449"/>
      <c r="J28" s="449"/>
      <c r="K28" s="449"/>
      <c r="L28" s="449">
        <f t="shared" si="3"/>
        <v>0</v>
      </c>
    </row>
    <row r="29" spans="1:12" ht="12.75" customHeight="1" x14ac:dyDescent="0.25">
      <c r="A29" s="456">
        <v>22</v>
      </c>
      <c r="B29" s="457" t="s">
        <v>50</v>
      </c>
      <c r="C29" s="288" t="s">
        <v>51</v>
      </c>
      <c r="D29" s="455">
        <v>0</v>
      </c>
      <c r="E29" s="455">
        <v>5105</v>
      </c>
      <c r="F29" s="455">
        <v>80</v>
      </c>
      <c r="G29" s="455">
        <v>258</v>
      </c>
      <c r="H29" s="449">
        <f t="shared" si="2"/>
        <v>5443</v>
      </c>
      <c r="I29" s="449"/>
      <c r="J29" s="449"/>
      <c r="K29" s="449"/>
      <c r="L29" s="449">
        <f t="shared" si="3"/>
        <v>0</v>
      </c>
    </row>
    <row r="30" spans="1:12" ht="12.75" customHeight="1" x14ac:dyDescent="0.25">
      <c r="A30" s="456">
        <v>23</v>
      </c>
      <c r="B30" s="457" t="s">
        <v>52</v>
      </c>
      <c r="C30" s="288" t="s">
        <v>53</v>
      </c>
      <c r="D30" s="455">
        <v>0</v>
      </c>
      <c r="E30" s="455">
        <v>2963</v>
      </c>
      <c r="F30" s="455">
        <v>49</v>
      </c>
      <c r="G30" s="455">
        <v>560</v>
      </c>
      <c r="H30" s="449">
        <f t="shared" si="2"/>
        <v>3572</v>
      </c>
      <c r="I30" s="449"/>
      <c r="J30" s="449"/>
      <c r="K30" s="449"/>
      <c r="L30" s="449">
        <f t="shared" si="3"/>
        <v>0</v>
      </c>
    </row>
    <row r="31" spans="1:12" ht="12.75" customHeight="1" x14ac:dyDescent="0.25">
      <c r="A31" s="456">
        <v>24</v>
      </c>
      <c r="B31" s="457" t="s">
        <v>44</v>
      </c>
      <c r="C31" s="288" t="s">
        <v>221</v>
      </c>
      <c r="D31" s="455">
        <v>0</v>
      </c>
      <c r="E31" s="455">
        <v>1852</v>
      </c>
      <c r="F31" s="455">
        <v>0</v>
      </c>
      <c r="G31" s="455">
        <v>0</v>
      </c>
      <c r="H31" s="449">
        <f t="shared" si="2"/>
        <v>1852</v>
      </c>
      <c r="I31" s="449"/>
      <c r="J31" s="449"/>
      <c r="K31" s="449"/>
      <c r="L31" s="449">
        <f t="shared" si="3"/>
        <v>0</v>
      </c>
    </row>
    <row r="32" spans="1:12" ht="12.75" customHeight="1" x14ac:dyDescent="0.25">
      <c r="A32" s="456">
        <v>25</v>
      </c>
      <c r="B32" s="457" t="s">
        <v>54</v>
      </c>
      <c r="C32" s="288" t="s">
        <v>55</v>
      </c>
      <c r="D32" s="455">
        <v>4350</v>
      </c>
      <c r="E32" s="455">
        <v>7710</v>
      </c>
      <c r="F32" s="455">
        <v>129</v>
      </c>
      <c r="G32" s="455">
        <v>1704</v>
      </c>
      <c r="H32" s="449">
        <f t="shared" si="2"/>
        <v>13893</v>
      </c>
      <c r="I32" s="449"/>
      <c r="J32" s="449"/>
      <c r="K32" s="449"/>
      <c r="L32" s="449">
        <f t="shared" si="3"/>
        <v>0</v>
      </c>
    </row>
    <row r="33" spans="1:12" x14ac:dyDescent="0.25">
      <c r="A33" s="456">
        <v>26</v>
      </c>
      <c r="B33" s="457" t="s">
        <v>36</v>
      </c>
      <c r="C33" s="288" t="s">
        <v>491</v>
      </c>
      <c r="D33" s="455">
        <v>0</v>
      </c>
      <c r="E33" s="455">
        <v>4550</v>
      </c>
      <c r="F33" s="455">
        <v>0</v>
      </c>
      <c r="G33" s="455">
        <v>232</v>
      </c>
      <c r="H33" s="449">
        <f t="shared" si="2"/>
        <v>4782</v>
      </c>
      <c r="I33" s="449">
        <v>1904</v>
      </c>
      <c r="J33" s="449">
        <v>0</v>
      </c>
      <c r="K33" s="449">
        <v>0</v>
      </c>
      <c r="L33" s="449">
        <f t="shared" si="3"/>
        <v>1904</v>
      </c>
    </row>
    <row r="34" spans="1:12" ht="12.75" customHeight="1" x14ac:dyDescent="0.25">
      <c r="A34" s="456">
        <v>27</v>
      </c>
      <c r="B34" s="457" t="s">
        <v>48</v>
      </c>
      <c r="C34" s="288" t="s">
        <v>604</v>
      </c>
      <c r="D34" s="455">
        <v>0</v>
      </c>
      <c r="E34" s="455">
        <v>3976</v>
      </c>
      <c r="F34" s="455">
        <v>69</v>
      </c>
      <c r="G34" s="455">
        <v>106</v>
      </c>
      <c r="H34" s="449">
        <f t="shared" si="2"/>
        <v>4151</v>
      </c>
      <c r="I34" s="449"/>
      <c r="J34" s="449"/>
      <c r="K34" s="449"/>
      <c r="L34" s="449">
        <f t="shared" si="3"/>
        <v>0</v>
      </c>
    </row>
    <row r="35" spans="1:12" ht="12.75" customHeight="1" x14ac:dyDescent="0.25">
      <c r="A35" s="456">
        <v>28</v>
      </c>
      <c r="B35" s="457" t="s">
        <v>56</v>
      </c>
      <c r="C35" s="288" t="s">
        <v>605</v>
      </c>
      <c r="D35" s="455">
        <v>0</v>
      </c>
      <c r="E35" s="455">
        <v>2332</v>
      </c>
      <c r="F35" s="455">
        <v>37</v>
      </c>
      <c r="G35" s="455">
        <v>554</v>
      </c>
      <c r="H35" s="449">
        <f t="shared" si="2"/>
        <v>2923</v>
      </c>
      <c r="I35" s="449">
        <v>918</v>
      </c>
      <c r="J35" s="449">
        <v>31</v>
      </c>
      <c r="K35" s="449"/>
      <c r="L35" s="449">
        <f t="shared" si="3"/>
        <v>949</v>
      </c>
    </row>
    <row r="36" spans="1:12" ht="12.75" customHeight="1" x14ac:dyDescent="0.25">
      <c r="A36" s="456">
        <v>29</v>
      </c>
      <c r="B36" s="458" t="s">
        <v>228</v>
      </c>
      <c r="C36" s="288" t="s">
        <v>573</v>
      </c>
      <c r="D36" s="455">
        <v>0</v>
      </c>
      <c r="E36" s="455">
        <v>481</v>
      </c>
      <c r="F36" s="455">
        <v>0</v>
      </c>
      <c r="G36" s="455">
        <v>138</v>
      </c>
      <c r="H36" s="449">
        <f t="shared" si="2"/>
        <v>619</v>
      </c>
      <c r="I36" s="449">
        <v>111</v>
      </c>
      <c r="J36" s="449">
        <v>2</v>
      </c>
      <c r="K36" s="449">
        <v>0</v>
      </c>
      <c r="L36" s="449">
        <f t="shared" si="3"/>
        <v>113</v>
      </c>
    </row>
    <row r="37" spans="1:12" ht="12.75" customHeight="1" x14ac:dyDescent="0.25">
      <c r="A37" s="456">
        <v>30</v>
      </c>
      <c r="B37" s="457" t="s">
        <v>74</v>
      </c>
      <c r="C37" s="288" t="s">
        <v>606</v>
      </c>
      <c r="D37" s="455">
        <v>0</v>
      </c>
      <c r="E37" s="455">
        <v>2622</v>
      </c>
      <c r="F37" s="455">
        <v>53</v>
      </c>
      <c r="G37" s="455">
        <v>0</v>
      </c>
      <c r="H37" s="449">
        <f t="shared" si="2"/>
        <v>2675</v>
      </c>
      <c r="I37" s="449"/>
      <c r="J37" s="449"/>
      <c r="K37" s="449"/>
      <c r="L37" s="449">
        <f t="shared" si="3"/>
        <v>0</v>
      </c>
    </row>
    <row r="38" spans="1:12" ht="12.75" customHeight="1" x14ac:dyDescent="0.25">
      <c r="A38" s="456">
        <v>31</v>
      </c>
      <c r="B38" s="457" t="s">
        <v>238</v>
      </c>
      <c r="C38" s="288" t="s">
        <v>239</v>
      </c>
      <c r="D38" s="455">
        <v>0</v>
      </c>
      <c r="E38" s="455">
        <v>1234</v>
      </c>
      <c r="F38" s="455">
        <v>0</v>
      </c>
      <c r="G38" s="455">
        <v>0</v>
      </c>
      <c r="H38" s="449">
        <f t="shared" si="2"/>
        <v>1234</v>
      </c>
      <c r="I38" s="449"/>
      <c r="J38" s="449"/>
      <c r="K38" s="449"/>
      <c r="L38" s="449">
        <f t="shared" si="3"/>
        <v>0</v>
      </c>
    </row>
    <row r="39" spans="1:12" ht="12.75" customHeight="1" x14ac:dyDescent="0.25">
      <c r="A39" s="456">
        <v>32</v>
      </c>
      <c r="B39" s="457" t="s">
        <v>240</v>
      </c>
      <c r="C39" s="288" t="s">
        <v>241</v>
      </c>
      <c r="D39" s="455">
        <v>0</v>
      </c>
      <c r="E39" s="455">
        <v>537</v>
      </c>
      <c r="F39" s="455">
        <v>0</v>
      </c>
      <c r="G39" s="455">
        <v>0</v>
      </c>
      <c r="H39" s="449">
        <f t="shared" si="2"/>
        <v>537</v>
      </c>
      <c r="I39" s="449"/>
      <c r="J39" s="449"/>
      <c r="K39" s="449"/>
      <c r="L39" s="449">
        <f t="shared" si="3"/>
        <v>0</v>
      </c>
    </row>
    <row r="40" spans="1:12" ht="12.75" customHeight="1" x14ac:dyDescent="0.25">
      <c r="A40" s="456">
        <v>33</v>
      </c>
      <c r="B40" s="457" t="s">
        <v>88</v>
      </c>
      <c r="C40" s="288" t="s">
        <v>89</v>
      </c>
      <c r="D40" s="455">
        <v>0</v>
      </c>
      <c r="E40" s="455">
        <v>686</v>
      </c>
      <c r="F40" s="455">
        <v>11</v>
      </c>
      <c r="G40" s="455">
        <v>169</v>
      </c>
      <c r="H40" s="449">
        <f t="shared" si="2"/>
        <v>866</v>
      </c>
      <c r="I40" s="449"/>
      <c r="J40" s="449"/>
      <c r="K40" s="449"/>
      <c r="L40" s="449">
        <f t="shared" si="3"/>
        <v>0</v>
      </c>
    </row>
    <row r="41" spans="1:12" ht="12.75" customHeight="1" x14ac:dyDescent="0.25">
      <c r="A41" s="456">
        <v>34</v>
      </c>
      <c r="B41" s="457" t="s">
        <v>32</v>
      </c>
      <c r="C41" s="288" t="s">
        <v>33</v>
      </c>
      <c r="D41" s="455">
        <v>0</v>
      </c>
      <c r="E41" s="455">
        <v>2419</v>
      </c>
      <c r="F41" s="455">
        <v>45</v>
      </c>
      <c r="G41" s="455">
        <v>709</v>
      </c>
      <c r="H41" s="449">
        <f t="shared" si="2"/>
        <v>3173</v>
      </c>
      <c r="I41" s="449"/>
      <c r="J41" s="449"/>
      <c r="K41" s="449"/>
      <c r="L41" s="449">
        <f t="shared" si="3"/>
        <v>0</v>
      </c>
    </row>
    <row r="42" spans="1:12" ht="12.75" customHeight="1" x14ac:dyDescent="0.25">
      <c r="A42" s="456">
        <v>35</v>
      </c>
      <c r="B42" s="457" t="s">
        <v>256</v>
      </c>
      <c r="C42" s="288" t="s">
        <v>257</v>
      </c>
      <c r="D42" s="455">
        <v>0</v>
      </c>
      <c r="E42" s="455">
        <v>1219</v>
      </c>
      <c r="F42" s="455">
        <v>21</v>
      </c>
      <c r="G42" s="455">
        <v>0</v>
      </c>
      <c r="H42" s="449">
        <f t="shared" si="2"/>
        <v>1240</v>
      </c>
      <c r="I42" s="449"/>
      <c r="J42" s="449"/>
      <c r="K42" s="449"/>
      <c r="L42" s="449">
        <f t="shared" si="3"/>
        <v>0</v>
      </c>
    </row>
    <row r="43" spans="1:12" ht="12.75" customHeight="1" x14ac:dyDescent="0.25">
      <c r="A43" s="456">
        <v>36</v>
      </c>
      <c r="B43" s="457" t="s">
        <v>76</v>
      </c>
      <c r="C43" s="288" t="s">
        <v>77</v>
      </c>
      <c r="D43" s="455">
        <v>0</v>
      </c>
      <c r="E43" s="455">
        <v>557</v>
      </c>
      <c r="F43" s="455">
        <v>0</v>
      </c>
      <c r="G43" s="455">
        <v>0</v>
      </c>
      <c r="H43" s="449">
        <f t="shared" si="2"/>
        <v>557</v>
      </c>
      <c r="I43" s="449"/>
      <c r="J43" s="449"/>
      <c r="K43" s="449"/>
      <c r="L43" s="449">
        <f t="shared" si="3"/>
        <v>0</v>
      </c>
    </row>
    <row r="44" spans="1:12" ht="12.75" customHeight="1" x14ac:dyDescent="0.25">
      <c r="A44" s="456">
        <v>37</v>
      </c>
      <c r="B44" s="457" t="s">
        <v>270</v>
      </c>
      <c r="C44" s="288" t="s">
        <v>271</v>
      </c>
      <c r="D44" s="455">
        <v>0</v>
      </c>
      <c r="E44" s="455">
        <v>0</v>
      </c>
      <c r="F44" s="455">
        <v>0</v>
      </c>
      <c r="G44" s="455">
        <v>0</v>
      </c>
      <c r="H44" s="449">
        <f t="shared" si="2"/>
        <v>0</v>
      </c>
      <c r="I44" s="449">
        <v>1065</v>
      </c>
      <c r="J44" s="449">
        <v>0</v>
      </c>
      <c r="K44" s="449">
        <v>0</v>
      </c>
      <c r="L44" s="449">
        <f t="shared" si="3"/>
        <v>1065</v>
      </c>
    </row>
    <row r="45" spans="1:12" ht="12.75" customHeight="1" x14ac:dyDescent="0.25">
      <c r="A45" s="456">
        <v>38</v>
      </c>
      <c r="B45" s="457" t="s">
        <v>274</v>
      </c>
      <c r="C45" s="288" t="s">
        <v>607</v>
      </c>
      <c r="D45" s="455">
        <v>0</v>
      </c>
      <c r="E45" s="455">
        <v>4258</v>
      </c>
      <c r="F45" s="455">
        <v>126</v>
      </c>
      <c r="G45" s="455">
        <v>1934</v>
      </c>
      <c r="H45" s="449">
        <f t="shared" si="2"/>
        <v>6318</v>
      </c>
      <c r="I45" s="449">
        <v>11119</v>
      </c>
      <c r="J45" s="449">
        <v>502</v>
      </c>
      <c r="K45" s="449">
        <v>502</v>
      </c>
      <c r="L45" s="449">
        <f t="shared" si="3"/>
        <v>12123</v>
      </c>
    </row>
    <row r="46" spans="1:12" ht="12.75" customHeight="1" x14ac:dyDescent="0.25">
      <c r="A46" s="456">
        <v>39</v>
      </c>
      <c r="B46" s="457" t="s">
        <v>276</v>
      </c>
      <c r="C46" s="288" t="s">
        <v>608</v>
      </c>
      <c r="D46" s="455">
        <v>0</v>
      </c>
      <c r="E46" s="455">
        <v>0</v>
      </c>
      <c r="F46" s="455">
        <v>0</v>
      </c>
      <c r="G46" s="455">
        <v>0</v>
      </c>
      <c r="H46" s="449">
        <f t="shared" si="2"/>
        <v>0</v>
      </c>
      <c r="I46" s="449">
        <v>2167</v>
      </c>
      <c r="J46" s="449">
        <v>142</v>
      </c>
      <c r="K46" s="449">
        <v>0</v>
      </c>
      <c r="L46" s="449">
        <f t="shared" si="3"/>
        <v>2309</v>
      </c>
    </row>
    <row r="47" spans="1:12" ht="12.75" customHeight="1" x14ac:dyDescent="0.25">
      <c r="A47" s="456">
        <v>40</v>
      </c>
      <c r="B47" s="457" t="s">
        <v>282</v>
      </c>
      <c r="C47" s="288" t="s">
        <v>283</v>
      </c>
      <c r="D47" s="455">
        <v>0</v>
      </c>
      <c r="E47" s="455">
        <v>0</v>
      </c>
      <c r="F47" s="455">
        <v>0</v>
      </c>
      <c r="G47" s="455">
        <v>0</v>
      </c>
      <c r="H47" s="449">
        <f t="shared" si="2"/>
        <v>0</v>
      </c>
      <c r="I47" s="449">
        <v>1462</v>
      </c>
      <c r="J47" s="449">
        <v>0</v>
      </c>
      <c r="K47" s="449">
        <v>0</v>
      </c>
      <c r="L47" s="449">
        <f t="shared" si="3"/>
        <v>1462</v>
      </c>
    </row>
    <row r="48" spans="1:12" ht="12.75" customHeight="1" x14ac:dyDescent="0.25">
      <c r="A48" s="456">
        <v>41</v>
      </c>
      <c r="B48" s="457" t="s">
        <v>284</v>
      </c>
      <c r="C48" s="288" t="s">
        <v>285</v>
      </c>
      <c r="D48" s="455">
        <v>0</v>
      </c>
      <c r="E48" s="455">
        <v>439</v>
      </c>
      <c r="F48" s="455">
        <v>24</v>
      </c>
      <c r="G48" s="455">
        <v>0</v>
      </c>
      <c r="H48" s="449">
        <f t="shared" si="2"/>
        <v>463</v>
      </c>
      <c r="I48" s="449">
        <v>1030</v>
      </c>
      <c r="J48" s="449">
        <v>40</v>
      </c>
      <c r="K48" s="449">
        <v>0</v>
      </c>
      <c r="L48" s="449">
        <f t="shared" si="3"/>
        <v>1070</v>
      </c>
    </row>
    <row r="49" spans="1:12" ht="12.75" customHeight="1" x14ac:dyDescent="0.25">
      <c r="A49" s="456">
        <v>42</v>
      </c>
      <c r="B49" s="459" t="s">
        <v>294</v>
      </c>
      <c r="C49" s="288" t="s">
        <v>295</v>
      </c>
      <c r="D49" s="455">
        <v>0</v>
      </c>
      <c r="E49" s="455">
        <v>11164</v>
      </c>
      <c r="F49" s="455">
        <v>0</v>
      </c>
      <c r="G49" s="455">
        <v>4001</v>
      </c>
      <c r="H49" s="449">
        <f t="shared" si="2"/>
        <v>15165</v>
      </c>
      <c r="I49" s="449">
        <v>6180</v>
      </c>
      <c r="J49" s="449">
        <v>0</v>
      </c>
      <c r="K49" s="449">
        <v>1402</v>
      </c>
      <c r="L49" s="449">
        <f t="shared" si="3"/>
        <v>7582</v>
      </c>
    </row>
    <row r="50" spans="1:12" ht="12.75" customHeight="1" x14ac:dyDescent="0.25">
      <c r="A50" s="456">
        <v>43</v>
      </c>
      <c r="B50" s="458" t="s">
        <v>70</v>
      </c>
      <c r="C50" s="288" t="s">
        <v>489</v>
      </c>
      <c r="D50" s="455">
        <v>0</v>
      </c>
      <c r="E50" s="455">
        <v>23000</v>
      </c>
      <c r="F50" s="455">
        <v>0</v>
      </c>
      <c r="G50" s="455">
        <v>9050</v>
      </c>
      <c r="H50" s="449">
        <f t="shared" si="2"/>
        <v>32050</v>
      </c>
      <c r="I50" s="449">
        <v>12090</v>
      </c>
      <c r="J50" s="449">
        <v>0</v>
      </c>
      <c r="K50" s="449">
        <v>2005</v>
      </c>
      <c r="L50" s="449">
        <f t="shared" si="3"/>
        <v>14095</v>
      </c>
    </row>
    <row r="51" spans="1:12" ht="13.5" customHeight="1" x14ac:dyDescent="0.25">
      <c r="A51" s="456">
        <v>44</v>
      </c>
      <c r="B51" s="458" t="s">
        <v>72</v>
      </c>
      <c r="C51" s="288" t="s">
        <v>73</v>
      </c>
      <c r="D51" s="455">
        <v>0</v>
      </c>
      <c r="E51" s="455">
        <v>500</v>
      </c>
      <c r="F51" s="455">
        <v>0</v>
      </c>
      <c r="G51" s="455">
        <v>2100</v>
      </c>
      <c r="H51" s="449">
        <f t="shared" si="2"/>
        <v>2600</v>
      </c>
      <c r="I51" s="449"/>
      <c r="J51" s="449"/>
      <c r="K51" s="449"/>
      <c r="L51" s="449">
        <f t="shared" si="3"/>
        <v>0</v>
      </c>
    </row>
    <row r="52" spans="1:12" ht="12.75" customHeight="1" x14ac:dyDescent="0.25">
      <c r="A52" s="456">
        <v>45</v>
      </c>
      <c r="B52" s="457" t="s">
        <v>34</v>
      </c>
      <c r="C52" s="288" t="s">
        <v>35</v>
      </c>
      <c r="D52" s="455">
        <v>0</v>
      </c>
      <c r="E52" s="455">
        <v>3650</v>
      </c>
      <c r="F52" s="455">
        <v>0</v>
      </c>
      <c r="G52" s="455">
        <v>0</v>
      </c>
      <c r="H52" s="449">
        <f t="shared" si="2"/>
        <v>3650</v>
      </c>
      <c r="I52" s="449">
        <v>2630</v>
      </c>
      <c r="J52" s="449">
        <v>0</v>
      </c>
      <c r="K52" s="449">
        <v>0</v>
      </c>
      <c r="L52" s="449">
        <f t="shared" si="3"/>
        <v>2630</v>
      </c>
    </row>
    <row r="53" spans="1:12" ht="12.75" customHeight="1" x14ac:dyDescent="0.25">
      <c r="A53" s="456">
        <v>46</v>
      </c>
      <c r="B53" s="457" t="s">
        <v>299</v>
      </c>
      <c r="C53" s="288" t="s">
        <v>300</v>
      </c>
      <c r="D53" s="455">
        <v>0</v>
      </c>
      <c r="E53" s="455">
        <v>0</v>
      </c>
      <c r="F53" s="455">
        <v>0</v>
      </c>
      <c r="G53" s="455">
        <v>0</v>
      </c>
      <c r="H53" s="449">
        <f t="shared" si="2"/>
        <v>0</v>
      </c>
      <c r="I53" s="449">
        <v>3200</v>
      </c>
      <c r="J53" s="449">
        <v>0</v>
      </c>
      <c r="K53" s="449">
        <v>0</v>
      </c>
      <c r="L53" s="449">
        <f t="shared" si="3"/>
        <v>3200</v>
      </c>
    </row>
    <row r="54" spans="1:12" ht="12.75" customHeight="1" x14ac:dyDescent="0.25">
      <c r="A54" s="456">
        <v>47</v>
      </c>
      <c r="B54" s="458" t="s">
        <v>68</v>
      </c>
      <c r="C54" s="288" t="s">
        <v>69</v>
      </c>
      <c r="D54" s="455">
        <v>0</v>
      </c>
      <c r="E54" s="455">
        <v>2081</v>
      </c>
      <c r="F54" s="455">
        <v>150</v>
      </c>
      <c r="G54" s="455">
        <v>500</v>
      </c>
      <c r="H54" s="449">
        <f t="shared" si="2"/>
        <v>2731</v>
      </c>
      <c r="I54" s="449"/>
      <c r="J54" s="449"/>
      <c r="K54" s="449"/>
      <c r="L54" s="449">
        <f t="shared" si="3"/>
        <v>0</v>
      </c>
    </row>
    <row r="55" spans="1:12" ht="12.75" customHeight="1" x14ac:dyDescent="0.25">
      <c r="A55" s="456">
        <v>48</v>
      </c>
      <c r="B55" s="458" t="s">
        <v>60</v>
      </c>
      <c r="C55" s="288" t="s">
        <v>303</v>
      </c>
      <c r="D55" s="455">
        <v>0</v>
      </c>
      <c r="E55" s="455">
        <v>3900</v>
      </c>
      <c r="F55" s="455">
        <v>36</v>
      </c>
      <c r="G55" s="455">
        <v>1891</v>
      </c>
      <c r="H55" s="449">
        <f t="shared" si="2"/>
        <v>5827</v>
      </c>
      <c r="I55" s="449">
        <v>6622</v>
      </c>
      <c r="J55" s="449">
        <v>794</v>
      </c>
      <c r="K55" s="449">
        <v>708</v>
      </c>
      <c r="L55" s="449">
        <f t="shared" si="3"/>
        <v>8124</v>
      </c>
    </row>
    <row r="56" spans="1:12" ht="12.75" customHeight="1" x14ac:dyDescent="0.25">
      <c r="A56" s="456">
        <v>49</v>
      </c>
      <c r="B56" s="457" t="s">
        <v>305</v>
      </c>
      <c r="C56" s="288" t="s">
        <v>576</v>
      </c>
      <c r="D56" s="455">
        <v>7638</v>
      </c>
      <c r="E56" s="455">
        <v>0</v>
      </c>
      <c r="F56" s="455">
        <v>0</v>
      </c>
      <c r="G56" s="455">
        <v>0</v>
      </c>
      <c r="H56" s="449">
        <f t="shared" si="2"/>
        <v>7638</v>
      </c>
      <c r="I56" s="449"/>
      <c r="J56" s="449"/>
      <c r="K56" s="449"/>
      <c r="L56" s="449">
        <f t="shared" si="3"/>
        <v>0</v>
      </c>
    </row>
    <row r="57" spans="1:12" x14ac:dyDescent="0.25">
      <c r="A57" s="460"/>
      <c r="B57" s="461"/>
      <c r="C57" s="462"/>
      <c r="D57" s="463"/>
      <c r="E57" s="463"/>
      <c r="F57" s="463"/>
      <c r="G57" s="463"/>
      <c r="H57" s="463"/>
      <c r="I57" s="463"/>
      <c r="J57" s="463"/>
      <c r="K57" s="464"/>
      <c r="L57" s="463"/>
    </row>
    <row r="58" spans="1:12" x14ac:dyDescent="0.25">
      <c r="A58" s="465"/>
      <c r="B58" s="466"/>
      <c r="C58" s="467"/>
      <c r="D58" s="771"/>
      <c r="E58" s="771"/>
      <c r="F58" s="771"/>
      <c r="G58" s="771"/>
      <c r="H58" s="771"/>
      <c r="I58" s="771"/>
      <c r="J58" s="771"/>
      <c r="K58" s="771"/>
      <c r="L58" s="771"/>
    </row>
    <row r="59" spans="1:12" x14ac:dyDescent="0.25">
      <c r="K59" s="463"/>
      <c r="L59" s="463"/>
    </row>
    <row r="60" spans="1:12" x14ac:dyDescent="0.25">
      <c r="K60" s="463"/>
      <c r="L60" s="463"/>
    </row>
    <row r="61" spans="1:12" x14ac:dyDescent="0.25">
      <c r="K61" s="463"/>
      <c r="L61" s="463"/>
    </row>
    <row r="62" spans="1:12" x14ac:dyDescent="0.25">
      <c r="D62" s="472"/>
    </row>
  </sheetData>
  <mergeCells count="6">
    <mergeCell ref="A1:L1"/>
    <mergeCell ref="A3:A4"/>
    <mergeCell ref="B3:B4"/>
    <mergeCell ref="C3:C4"/>
    <mergeCell ref="D3:H3"/>
    <mergeCell ref="I3:L3"/>
  </mergeCells>
  <pageMargins left="0.31496062992125984" right="0" top="0" bottom="0" header="0.31496062992125984" footer="0.31496062992125984"/>
  <pageSetup paperSize="9" scale="6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  <pageSetUpPr fitToPage="1"/>
  </sheetPr>
  <dimension ref="A1:G101"/>
  <sheetViews>
    <sheetView zoomScaleNormal="100" workbookViewId="0">
      <pane xSplit="3" ySplit="5" topLeftCell="G18" activePane="bottomRight" state="frozen"/>
      <selection pane="topRight" activeCell="D1" sqref="D1"/>
      <selection pane="bottomLeft" activeCell="A6" sqref="A6"/>
      <selection pane="bottomRight" activeCell="A42" sqref="A42:XFD42"/>
    </sheetView>
  </sheetViews>
  <sheetFormatPr defaultRowHeight="12.75" x14ac:dyDescent="0.25"/>
  <cols>
    <col min="1" max="1" width="4.5703125" style="471" customWidth="1"/>
    <col min="2" max="2" width="9" style="471" customWidth="1"/>
    <col min="3" max="3" width="37" style="473" customWidth="1"/>
    <col min="4" max="4" width="15.140625" style="471" customWidth="1"/>
    <col min="5" max="5" width="16.28515625" style="471" customWidth="1"/>
    <col min="6" max="6" width="19.140625" style="471" customWidth="1"/>
    <col min="7" max="7" width="15.42578125" style="471" customWidth="1"/>
    <col min="8" max="16384" width="9.140625" style="471"/>
  </cols>
  <sheetData>
    <row r="1" spans="1:7" ht="43.5" customHeight="1" x14ac:dyDescent="0.25">
      <c r="A1" s="1279" t="s">
        <v>609</v>
      </c>
      <c r="B1" s="1279"/>
      <c r="C1" s="1280"/>
      <c r="D1" s="1280"/>
      <c r="E1" s="1280"/>
      <c r="F1" s="1280"/>
      <c r="G1" s="1280"/>
    </row>
    <row r="2" spans="1:7" ht="17.25" customHeight="1" x14ac:dyDescent="0.25"/>
    <row r="3" spans="1:7" ht="15.75" customHeight="1" x14ac:dyDescent="0.25">
      <c r="A3" s="1281" t="s">
        <v>0</v>
      </c>
      <c r="B3" s="1281" t="s">
        <v>1</v>
      </c>
      <c r="C3" s="1282" t="s">
        <v>610</v>
      </c>
      <c r="D3" s="474" t="s">
        <v>611</v>
      </c>
      <c r="E3" s="474"/>
      <c r="F3" s="475"/>
      <c r="G3" s="475"/>
    </row>
    <row r="4" spans="1:7" ht="61.5" customHeight="1" x14ac:dyDescent="0.25">
      <c r="A4" s="1281"/>
      <c r="B4" s="1281"/>
      <c r="C4" s="1282"/>
      <c r="D4" s="768" t="s">
        <v>612</v>
      </c>
      <c r="E4" s="768" t="s">
        <v>613</v>
      </c>
      <c r="F4" s="768" t="s">
        <v>614</v>
      </c>
      <c r="G4" s="476" t="s">
        <v>331</v>
      </c>
    </row>
    <row r="5" spans="1:7" ht="11.25" customHeight="1" x14ac:dyDescent="0.25">
      <c r="A5" s="768"/>
      <c r="B5" s="477"/>
      <c r="C5" s="478" t="s">
        <v>331</v>
      </c>
      <c r="D5" s="479">
        <f>D7+D6</f>
        <v>202972</v>
      </c>
      <c r="E5" s="479">
        <f t="shared" ref="E5:F5" si="0">E7+E6</f>
        <v>99641</v>
      </c>
      <c r="F5" s="479">
        <f t="shared" si="0"/>
        <v>66427</v>
      </c>
      <c r="G5" s="479">
        <f>G7+G6</f>
        <v>369040</v>
      </c>
    </row>
    <row r="6" spans="1:7" ht="11.25" customHeight="1" x14ac:dyDescent="0.25">
      <c r="A6" s="768"/>
      <c r="B6" s="477"/>
      <c r="C6" s="480" t="s">
        <v>105</v>
      </c>
      <c r="D6" s="768">
        <v>0</v>
      </c>
      <c r="E6" s="768">
        <v>0</v>
      </c>
      <c r="F6" s="768">
        <v>0</v>
      </c>
      <c r="G6" s="476">
        <v>0</v>
      </c>
    </row>
    <row r="7" spans="1:7" ht="11.25" customHeight="1" x14ac:dyDescent="0.25">
      <c r="A7" s="768"/>
      <c r="B7" s="477"/>
      <c r="C7" s="480" t="s">
        <v>108</v>
      </c>
      <c r="D7" s="479">
        <f>SUM(D8:D92)</f>
        <v>202972</v>
      </c>
      <c r="E7" s="479">
        <f>SUM(E8:E92)</f>
        <v>99641</v>
      </c>
      <c r="F7" s="479">
        <f>SUM(F8:F92)</f>
        <v>66427</v>
      </c>
      <c r="G7" s="481">
        <f>SUM(G8:G92)</f>
        <v>369040</v>
      </c>
    </row>
    <row r="8" spans="1:7" ht="11.25" customHeight="1" x14ac:dyDescent="0.25">
      <c r="A8" s="768">
        <v>1</v>
      </c>
      <c r="B8" s="482" t="s">
        <v>109</v>
      </c>
      <c r="C8" s="483" t="s">
        <v>110</v>
      </c>
      <c r="D8" s="768">
        <v>889</v>
      </c>
      <c r="E8" s="768">
        <v>444</v>
      </c>
      <c r="F8" s="768">
        <v>296</v>
      </c>
      <c r="G8" s="476">
        <f>SUM(D8:F8)</f>
        <v>1629</v>
      </c>
    </row>
    <row r="9" spans="1:7" ht="11.25" customHeight="1" x14ac:dyDescent="0.25">
      <c r="A9" s="768">
        <v>2</v>
      </c>
      <c r="B9" s="482" t="s">
        <v>111</v>
      </c>
      <c r="C9" s="483" t="s">
        <v>112</v>
      </c>
      <c r="D9" s="887">
        <v>891</v>
      </c>
      <c r="E9" s="768">
        <v>461</v>
      </c>
      <c r="F9" s="887">
        <v>307</v>
      </c>
      <c r="G9" s="476">
        <f>SUM(D9:F9)</f>
        <v>1659</v>
      </c>
    </row>
    <row r="10" spans="1:7" ht="11.25" customHeight="1" x14ac:dyDescent="0.25">
      <c r="A10" s="768">
        <v>3</v>
      </c>
      <c r="B10" s="482" t="s">
        <v>80</v>
      </c>
      <c r="C10" s="483" t="s">
        <v>81</v>
      </c>
      <c r="D10" s="887">
        <v>2795</v>
      </c>
      <c r="E10" s="768">
        <v>1353</v>
      </c>
      <c r="F10" s="887">
        <v>1243</v>
      </c>
      <c r="G10" s="476">
        <f t="shared" ref="G10:G73" si="1">SUM(D10:F10)</f>
        <v>5391</v>
      </c>
    </row>
    <row r="11" spans="1:7" ht="11.25" customHeight="1" x14ac:dyDescent="0.25">
      <c r="A11" s="768">
        <v>4</v>
      </c>
      <c r="B11" s="482" t="s">
        <v>113</v>
      </c>
      <c r="C11" s="483" t="s">
        <v>114</v>
      </c>
      <c r="D11" s="887">
        <v>755</v>
      </c>
      <c r="E11" s="768">
        <v>514</v>
      </c>
      <c r="F11" s="887">
        <v>0</v>
      </c>
      <c r="G11" s="476">
        <f t="shared" si="1"/>
        <v>1269</v>
      </c>
    </row>
    <row r="12" spans="1:7" ht="11.25" customHeight="1" x14ac:dyDescent="0.25">
      <c r="A12" s="768">
        <v>5</v>
      </c>
      <c r="B12" s="482" t="s">
        <v>115</v>
      </c>
      <c r="C12" s="483" t="s">
        <v>116</v>
      </c>
      <c r="D12" s="887">
        <v>1069</v>
      </c>
      <c r="E12" s="768">
        <v>540</v>
      </c>
      <c r="F12" s="887">
        <v>360</v>
      </c>
      <c r="G12" s="476">
        <f t="shared" si="1"/>
        <v>1969</v>
      </c>
    </row>
    <row r="13" spans="1:7" ht="10.5" customHeight="1" x14ac:dyDescent="0.25">
      <c r="A13" s="768">
        <v>6</v>
      </c>
      <c r="B13" s="482" t="s">
        <v>117</v>
      </c>
      <c r="C13" s="483" t="s">
        <v>118</v>
      </c>
      <c r="D13" s="887">
        <v>2761</v>
      </c>
      <c r="E13" s="768">
        <v>1878</v>
      </c>
      <c r="F13" s="887">
        <v>1251</v>
      </c>
      <c r="G13" s="476">
        <f t="shared" si="1"/>
        <v>5890</v>
      </c>
    </row>
    <row r="14" spans="1:7" ht="11.25" customHeight="1" x14ac:dyDescent="0.25">
      <c r="A14" s="768">
        <v>7</v>
      </c>
      <c r="B14" s="482" t="s">
        <v>20</v>
      </c>
      <c r="C14" s="483" t="s">
        <v>21</v>
      </c>
      <c r="D14" s="887">
        <v>2040</v>
      </c>
      <c r="E14" s="768"/>
      <c r="F14" s="887">
        <v>0</v>
      </c>
      <c r="G14" s="476">
        <f t="shared" si="1"/>
        <v>2040</v>
      </c>
    </row>
    <row r="15" spans="1:7" ht="11.25" customHeight="1" x14ac:dyDescent="0.25">
      <c r="A15" s="768">
        <v>8</v>
      </c>
      <c r="B15" s="482" t="s">
        <v>119</v>
      </c>
      <c r="C15" s="483" t="s">
        <v>120</v>
      </c>
      <c r="D15" s="887">
        <v>0</v>
      </c>
      <c r="E15" s="768">
        <v>574</v>
      </c>
      <c r="F15" s="887">
        <v>382</v>
      </c>
      <c r="G15" s="476">
        <f t="shared" si="1"/>
        <v>956</v>
      </c>
    </row>
    <row r="16" spans="1:7" ht="11.25" customHeight="1" x14ac:dyDescent="0.25">
      <c r="A16" s="768">
        <v>9</v>
      </c>
      <c r="B16" s="482" t="s">
        <v>121</v>
      </c>
      <c r="C16" s="483" t="s">
        <v>122</v>
      </c>
      <c r="D16" s="887">
        <v>754</v>
      </c>
      <c r="E16" s="768">
        <v>513</v>
      </c>
      <c r="F16" s="887">
        <v>342</v>
      </c>
      <c r="G16" s="476">
        <f t="shared" si="1"/>
        <v>1609</v>
      </c>
    </row>
    <row r="17" spans="1:7" ht="11.25" customHeight="1" x14ac:dyDescent="0.25">
      <c r="A17" s="768">
        <v>10</v>
      </c>
      <c r="B17" s="482" t="s">
        <v>123</v>
      </c>
      <c r="C17" s="483" t="s">
        <v>124</v>
      </c>
      <c r="D17" s="887">
        <v>1030</v>
      </c>
      <c r="E17" s="768">
        <v>700</v>
      </c>
      <c r="F17" s="887">
        <v>466</v>
      </c>
      <c r="G17" s="476">
        <f t="shared" si="1"/>
        <v>2196</v>
      </c>
    </row>
    <row r="18" spans="1:7" ht="11.25" customHeight="1" x14ac:dyDescent="0.25">
      <c r="A18" s="768">
        <v>11</v>
      </c>
      <c r="B18" s="482" t="s">
        <v>125</v>
      </c>
      <c r="C18" s="483" t="s">
        <v>126</v>
      </c>
      <c r="D18" s="887">
        <v>1032</v>
      </c>
      <c r="E18" s="768">
        <v>513</v>
      </c>
      <c r="F18" s="887">
        <v>342</v>
      </c>
      <c r="G18" s="476">
        <f t="shared" si="1"/>
        <v>1887</v>
      </c>
    </row>
    <row r="19" spans="1:7" ht="11.25" customHeight="1" x14ac:dyDescent="0.25">
      <c r="A19" s="768">
        <v>12</v>
      </c>
      <c r="B19" s="482" t="s">
        <v>127</v>
      </c>
      <c r="C19" s="483" t="s">
        <v>128</v>
      </c>
      <c r="D19" s="887">
        <v>2053</v>
      </c>
      <c r="E19" s="768">
        <v>0</v>
      </c>
      <c r="F19" s="887">
        <v>0</v>
      </c>
      <c r="G19" s="476">
        <f t="shared" si="1"/>
        <v>2053</v>
      </c>
    </row>
    <row r="20" spans="1:7" ht="11.25" customHeight="1" x14ac:dyDescent="0.25">
      <c r="A20" s="768">
        <v>13</v>
      </c>
      <c r="B20" s="482" t="s">
        <v>129</v>
      </c>
      <c r="C20" s="483" t="s">
        <v>130</v>
      </c>
      <c r="D20" s="887">
        <v>3604</v>
      </c>
      <c r="E20" s="768">
        <v>2913</v>
      </c>
      <c r="F20" s="887">
        <v>1940</v>
      </c>
      <c r="G20" s="476">
        <f t="shared" si="1"/>
        <v>8457</v>
      </c>
    </row>
    <row r="21" spans="1:7" ht="11.25" customHeight="1" x14ac:dyDescent="0.25">
      <c r="A21" s="768">
        <v>14</v>
      </c>
      <c r="B21" s="482" t="s">
        <v>131</v>
      </c>
      <c r="C21" s="483" t="s">
        <v>132</v>
      </c>
      <c r="D21" s="887">
        <v>486</v>
      </c>
      <c r="E21" s="768"/>
      <c r="F21" s="887">
        <v>0</v>
      </c>
      <c r="G21" s="476">
        <f t="shared" si="1"/>
        <v>486</v>
      </c>
    </row>
    <row r="22" spans="1:7" ht="11.25" customHeight="1" x14ac:dyDescent="0.25">
      <c r="A22" s="768">
        <v>15</v>
      </c>
      <c r="B22" s="482" t="s">
        <v>133</v>
      </c>
      <c r="C22" s="483" t="s">
        <v>134</v>
      </c>
      <c r="D22" s="887">
        <v>1320</v>
      </c>
      <c r="E22" s="768">
        <v>898</v>
      </c>
      <c r="F22" s="887">
        <v>598</v>
      </c>
      <c r="G22" s="476">
        <f t="shared" si="1"/>
        <v>2816</v>
      </c>
    </row>
    <row r="23" spans="1:7" ht="11.25" customHeight="1" x14ac:dyDescent="0.25">
      <c r="A23" s="768">
        <v>16</v>
      </c>
      <c r="B23" s="482" t="s">
        <v>135</v>
      </c>
      <c r="C23" s="483" t="s">
        <v>136</v>
      </c>
      <c r="D23" s="887">
        <v>2653</v>
      </c>
      <c r="E23" s="768">
        <v>1231</v>
      </c>
      <c r="F23" s="887">
        <v>820</v>
      </c>
      <c r="G23" s="476">
        <f t="shared" si="1"/>
        <v>4704</v>
      </c>
    </row>
    <row r="24" spans="1:7" ht="11.25" customHeight="1" x14ac:dyDescent="0.25">
      <c r="A24" s="768">
        <v>17</v>
      </c>
      <c r="B24" s="482" t="s">
        <v>30</v>
      </c>
      <c r="C24" s="483" t="s">
        <v>31</v>
      </c>
      <c r="D24" s="887">
        <v>5838</v>
      </c>
      <c r="E24" s="768">
        <v>2753</v>
      </c>
      <c r="F24" s="887">
        <v>1833</v>
      </c>
      <c r="G24" s="476">
        <f t="shared" si="1"/>
        <v>10424</v>
      </c>
    </row>
    <row r="25" spans="1:7" ht="11.25" customHeight="1" x14ac:dyDescent="0.25">
      <c r="A25" s="768">
        <v>18</v>
      </c>
      <c r="B25" s="482" t="s">
        <v>137</v>
      </c>
      <c r="C25" s="483" t="s">
        <v>138</v>
      </c>
      <c r="D25" s="887">
        <v>557</v>
      </c>
      <c r="E25" s="768"/>
      <c r="F25" s="887">
        <v>0</v>
      </c>
      <c r="G25" s="476">
        <f t="shared" si="1"/>
        <v>557</v>
      </c>
    </row>
    <row r="26" spans="1:7" ht="11.25" customHeight="1" x14ac:dyDescent="0.25">
      <c r="A26" s="768">
        <v>19</v>
      </c>
      <c r="B26" s="482" t="s">
        <v>84</v>
      </c>
      <c r="C26" s="483" t="s">
        <v>85</v>
      </c>
      <c r="D26" s="887">
        <v>3361</v>
      </c>
      <c r="E26" s="768">
        <v>1629</v>
      </c>
      <c r="F26" s="887">
        <v>1085</v>
      </c>
      <c r="G26" s="476">
        <f t="shared" si="1"/>
        <v>6075</v>
      </c>
    </row>
    <row r="27" spans="1:7" ht="11.25" customHeight="1" x14ac:dyDescent="0.25">
      <c r="A27" s="768">
        <v>20</v>
      </c>
      <c r="B27" s="482" t="s">
        <v>141</v>
      </c>
      <c r="C27" s="483" t="s">
        <v>142</v>
      </c>
      <c r="D27" s="887">
        <v>4320</v>
      </c>
      <c r="E27" s="768">
        <v>2371</v>
      </c>
      <c r="F27" s="887">
        <v>1579</v>
      </c>
      <c r="G27" s="476">
        <f t="shared" si="1"/>
        <v>8270</v>
      </c>
    </row>
    <row r="28" spans="1:7" ht="11.25" customHeight="1" x14ac:dyDescent="0.25">
      <c r="A28" s="768">
        <v>21</v>
      </c>
      <c r="B28" s="482" t="s">
        <v>143</v>
      </c>
      <c r="C28" s="483" t="s">
        <v>144</v>
      </c>
      <c r="D28" s="887">
        <v>504</v>
      </c>
      <c r="E28" s="768">
        <v>343</v>
      </c>
      <c r="F28" s="887">
        <v>229</v>
      </c>
      <c r="G28" s="476">
        <f t="shared" si="1"/>
        <v>1076</v>
      </c>
    </row>
    <row r="29" spans="1:7" ht="11.25" customHeight="1" x14ac:dyDescent="0.25">
      <c r="A29" s="768">
        <v>22</v>
      </c>
      <c r="B29" s="482" t="s">
        <v>149</v>
      </c>
      <c r="C29" s="483" t="s">
        <v>150</v>
      </c>
      <c r="D29" s="887">
        <v>10865</v>
      </c>
      <c r="E29" s="768">
        <v>8154</v>
      </c>
      <c r="F29" s="887">
        <v>5581</v>
      </c>
      <c r="G29" s="476">
        <f t="shared" si="1"/>
        <v>24600</v>
      </c>
    </row>
    <row r="30" spans="1:7" ht="11.25" customHeight="1" x14ac:dyDescent="0.25">
      <c r="A30" s="768">
        <v>23</v>
      </c>
      <c r="B30" s="482" t="s">
        <v>151</v>
      </c>
      <c r="C30" s="483" t="s">
        <v>615</v>
      </c>
      <c r="D30" s="887">
        <v>5150</v>
      </c>
      <c r="E30" s="768"/>
      <c r="F30" s="887">
        <v>0</v>
      </c>
      <c r="G30" s="476">
        <f t="shared" si="1"/>
        <v>5150</v>
      </c>
    </row>
    <row r="31" spans="1:7" ht="11.25" customHeight="1" x14ac:dyDescent="0.25">
      <c r="A31" s="768">
        <v>24</v>
      </c>
      <c r="B31" s="482" t="s">
        <v>157</v>
      </c>
      <c r="C31" s="483" t="s">
        <v>158</v>
      </c>
      <c r="D31" s="887">
        <v>4001</v>
      </c>
      <c r="E31" s="768">
        <v>1995</v>
      </c>
      <c r="F31" s="887">
        <v>1329</v>
      </c>
      <c r="G31" s="476">
        <f t="shared" si="1"/>
        <v>7325</v>
      </c>
    </row>
    <row r="32" spans="1:7" ht="11.25" customHeight="1" x14ac:dyDescent="0.25">
      <c r="A32" s="768">
        <v>25</v>
      </c>
      <c r="B32" s="482" t="s">
        <v>46</v>
      </c>
      <c r="C32" s="483" t="s">
        <v>47</v>
      </c>
      <c r="D32" s="887">
        <v>6054</v>
      </c>
      <c r="E32" s="768">
        <v>2996</v>
      </c>
      <c r="F32" s="887">
        <v>1996</v>
      </c>
      <c r="G32" s="476">
        <f t="shared" si="1"/>
        <v>11046</v>
      </c>
    </row>
    <row r="33" spans="1:7" ht="11.25" customHeight="1" x14ac:dyDescent="0.25">
      <c r="A33" s="768">
        <v>26</v>
      </c>
      <c r="B33" s="482" t="s">
        <v>159</v>
      </c>
      <c r="C33" s="483" t="s">
        <v>160</v>
      </c>
      <c r="D33" s="887">
        <v>1161</v>
      </c>
      <c r="E33" s="768">
        <v>565</v>
      </c>
      <c r="F33" s="887">
        <v>377</v>
      </c>
      <c r="G33" s="476">
        <f t="shared" si="1"/>
        <v>2103</v>
      </c>
    </row>
    <row r="34" spans="1:7" ht="11.25" customHeight="1" x14ac:dyDescent="0.25">
      <c r="A34" s="768">
        <v>27</v>
      </c>
      <c r="B34" s="482" t="s">
        <v>58</v>
      </c>
      <c r="C34" s="483" t="s">
        <v>59</v>
      </c>
      <c r="D34" s="887">
        <v>2976</v>
      </c>
      <c r="E34" s="768">
        <v>2024</v>
      </c>
      <c r="F34" s="887">
        <v>1349</v>
      </c>
      <c r="G34" s="476">
        <f t="shared" si="1"/>
        <v>6349</v>
      </c>
    </row>
    <row r="35" spans="1:7" ht="11.25" customHeight="1" x14ac:dyDescent="0.25">
      <c r="A35" s="768">
        <v>28</v>
      </c>
      <c r="B35" s="482" t="s">
        <v>161</v>
      </c>
      <c r="C35" s="483" t="s">
        <v>162</v>
      </c>
      <c r="D35" s="887">
        <v>1519</v>
      </c>
      <c r="E35" s="768">
        <v>744</v>
      </c>
      <c r="F35" s="887">
        <v>496</v>
      </c>
      <c r="G35" s="476">
        <f t="shared" si="1"/>
        <v>2759</v>
      </c>
    </row>
    <row r="36" spans="1:7" ht="11.25" customHeight="1" x14ac:dyDescent="0.25">
      <c r="A36" s="768">
        <v>29</v>
      </c>
      <c r="B36" s="482" t="s">
        <v>82</v>
      </c>
      <c r="C36" s="483" t="s">
        <v>83</v>
      </c>
      <c r="D36" s="887">
        <v>3948</v>
      </c>
      <c r="E36" s="768">
        <v>1940</v>
      </c>
      <c r="F36" s="887">
        <v>1292</v>
      </c>
      <c r="G36" s="476">
        <f t="shared" si="1"/>
        <v>7180</v>
      </c>
    </row>
    <row r="37" spans="1:7" ht="11.25" customHeight="1" x14ac:dyDescent="0.25">
      <c r="A37" s="768">
        <v>30</v>
      </c>
      <c r="B37" s="482" t="s">
        <v>163</v>
      </c>
      <c r="C37" s="483" t="s">
        <v>164</v>
      </c>
      <c r="D37" s="887">
        <v>1363</v>
      </c>
      <c r="E37" s="768">
        <v>675</v>
      </c>
      <c r="F37" s="887">
        <v>450</v>
      </c>
      <c r="G37" s="476">
        <f t="shared" si="1"/>
        <v>2488</v>
      </c>
    </row>
    <row r="38" spans="1:7" ht="11.25" customHeight="1" x14ac:dyDescent="0.25">
      <c r="A38" s="768">
        <v>31</v>
      </c>
      <c r="B38" s="482" t="s">
        <v>165</v>
      </c>
      <c r="C38" s="483" t="s">
        <v>166</v>
      </c>
      <c r="D38" s="887">
        <v>328</v>
      </c>
      <c r="E38" s="768">
        <v>223</v>
      </c>
      <c r="F38" s="887">
        <v>0</v>
      </c>
      <c r="G38" s="476">
        <f t="shared" si="1"/>
        <v>551</v>
      </c>
    </row>
    <row r="39" spans="1:7" ht="11.25" customHeight="1" x14ac:dyDescent="0.25">
      <c r="A39" s="768">
        <v>32</v>
      </c>
      <c r="B39" s="482" t="s">
        <v>86</v>
      </c>
      <c r="C39" s="483" t="s">
        <v>87</v>
      </c>
      <c r="D39" s="887">
        <v>1124</v>
      </c>
      <c r="E39" s="768"/>
      <c r="F39" s="887">
        <v>0</v>
      </c>
      <c r="G39" s="476">
        <f t="shared" si="1"/>
        <v>1124</v>
      </c>
    </row>
    <row r="40" spans="1:7" ht="11.25" customHeight="1" x14ac:dyDescent="0.25">
      <c r="A40" s="768">
        <v>33</v>
      </c>
      <c r="B40" s="482" t="s">
        <v>167</v>
      </c>
      <c r="C40" s="483" t="s">
        <v>168</v>
      </c>
      <c r="D40" s="887">
        <v>601</v>
      </c>
      <c r="E40" s="768">
        <v>364</v>
      </c>
      <c r="F40" s="887">
        <v>242</v>
      </c>
      <c r="G40" s="476">
        <f t="shared" si="1"/>
        <v>1207</v>
      </c>
    </row>
    <row r="41" spans="1:7" ht="11.25" customHeight="1" x14ac:dyDescent="0.25">
      <c r="A41" s="768">
        <v>34</v>
      </c>
      <c r="B41" s="482" t="s">
        <v>169</v>
      </c>
      <c r="C41" s="483" t="s">
        <v>170</v>
      </c>
      <c r="D41" s="887">
        <v>778</v>
      </c>
      <c r="E41" s="768">
        <v>529</v>
      </c>
      <c r="F41" s="887">
        <v>352</v>
      </c>
      <c r="G41" s="476">
        <f t="shared" si="1"/>
        <v>1659</v>
      </c>
    </row>
    <row r="42" spans="1:7" ht="11.25" customHeight="1" x14ac:dyDescent="0.25">
      <c r="A42" s="768">
        <v>35</v>
      </c>
      <c r="B42" s="482" t="s">
        <v>171</v>
      </c>
      <c r="C42" s="483" t="s">
        <v>172</v>
      </c>
      <c r="D42" s="887">
        <v>5403</v>
      </c>
      <c r="E42" s="768">
        <v>2877</v>
      </c>
      <c r="F42" s="887">
        <v>1755</v>
      </c>
      <c r="G42" s="476">
        <f t="shared" si="1"/>
        <v>10035</v>
      </c>
    </row>
    <row r="43" spans="1:7" ht="11.25" customHeight="1" x14ac:dyDescent="0.25">
      <c r="A43" s="768">
        <v>36</v>
      </c>
      <c r="B43" s="482" t="s">
        <v>78</v>
      </c>
      <c r="C43" s="483" t="s">
        <v>79</v>
      </c>
      <c r="D43" s="887">
        <v>923</v>
      </c>
      <c r="E43" s="768">
        <v>628</v>
      </c>
      <c r="F43" s="887">
        <v>418</v>
      </c>
      <c r="G43" s="476">
        <f t="shared" si="1"/>
        <v>1969</v>
      </c>
    </row>
    <row r="44" spans="1:7" ht="11.25" customHeight="1" x14ac:dyDescent="0.25">
      <c r="A44" s="768">
        <v>37</v>
      </c>
      <c r="B44" s="482" t="s">
        <v>173</v>
      </c>
      <c r="C44" s="483" t="s">
        <v>174</v>
      </c>
      <c r="D44" s="887">
        <v>4148</v>
      </c>
      <c r="E44" s="768">
        <v>2087</v>
      </c>
      <c r="F44" s="887">
        <v>1390</v>
      </c>
      <c r="G44" s="476">
        <f t="shared" si="1"/>
        <v>7625</v>
      </c>
    </row>
    <row r="45" spans="1:7" ht="11.25" customHeight="1" x14ac:dyDescent="0.25">
      <c r="A45" s="768">
        <v>38</v>
      </c>
      <c r="B45" s="482" t="s">
        <v>175</v>
      </c>
      <c r="C45" s="483" t="s">
        <v>176</v>
      </c>
      <c r="D45" s="887">
        <v>691</v>
      </c>
      <c r="E45" s="768">
        <v>470</v>
      </c>
      <c r="F45" s="887">
        <v>313</v>
      </c>
      <c r="G45" s="476">
        <f t="shared" si="1"/>
        <v>1474</v>
      </c>
    </row>
    <row r="46" spans="1:7" ht="11.25" customHeight="1" x14ac:dyDescent="0.25">
      <c r="A46" s="768">
        <v>39</v>
      </c>
      <c r="B46" s="482" t="s">
        <v>42</v>
      </c>
      <c r="C46" s="483" t="s">
        <v>43</v>
      </c>
      <c r="D46" s="887">
        <v>1101</v>
      </c>
      <c r="E46" s="768"/>
      <c r="F46" s="887">
        <v>0</v>
      </c>
      <c r="G46" s="476">
        <f t="shared" si="1"/>
        <v>1101</v>
      </c>
    </row>
    <row r="47" spans="1:7" ht="11.25" customHeight="1" x14ac:dyDescent="0.25">
      <c r="A47" s="768">
        <v>40</v>
      </c>
      <c r="B47" s="482" t="s">
        <v>177</v>
      </c>
      <c r="C47" s="483" t="s">
        <v>178</v>
      </c>
      <c r="D47" s="887">
        <v>1751</v>
      </c>
      <c r="E47" s="768">
        <v>877</v>
      </c>
      <c r="F47" s="887">
        <v>584</v>
      </c>
      <c r="G47" s="476">
        <f t="shared" si="1"/>
        <v>3212</v>
      </c>
    </row>
    <row r="48" spans="1:7" ht="11.25" customHeight="1" x14ac:dyDescent="0.25">
      <c r="A48" s="768">
        <v>41</v>
      </c>
      <c r="B48" s="482" t="s">
        <v>179</v>
      </c>
      <c r="C48" s="483" t="s">
        <v>180</v>
      </c>
      <c r="D48" s="887">
        <v>358</v>
      </c>
      <c r="E48" s="768"/>
      <c r="F48" s="887">
        <v>162</v>
      </c>
      <c r="G48" s="476">
        <f t="shared" si="1"/>
        <v>520</v>
      </c>
    </row>
    <row r="49" spans="1:7" ht="11.25" customHeight="1" x14ac:dyDescent="0.25">
      <c r="A49" s="768">
        <v>42</v>
      </c>
      <c r="B49" s="482" t="s">
        <v>181</v>
      </c>
      <c r="C49" s="483" t="s">
        <v>182</v>
      </c>
      <c r="D49" s="887">
        <v>869</v>
      </c>
      <c r="E49" s="768">
        <v>591</v>
      </c>
      <c r="F49" s="887">
        <v>394</v>
      </c>
      <c r="G49" s="476">
        <f t="shared" si="1"/>
        <v>1854</v>
      </c>
    </row>
    <row r="50" spans="1:7" ht="11.25" customHeight="1" x14ac:dyDescent="0.25">
      <c r="A50" s="768">
        <v>43</v>
      </c>
      <c r="B50" s="482" t="s">
        <v>183</v>
      </c>
      <c r="C50" s="483" t="s">
        <v>184</v>
      </c>
      <c r="D50" s="887">
        <v>1799</v>
      </c>
      <c r="E50" s="768">
        <v>923</v>
      </c>
      <c r="F50" s="887">
        <v>615</v>
      </c>
      <c r="G50" s="476">
        <f t="shared" si="1"/>
        <v>3337</v>
      </c>
    </row>
    <row r="51" spans="1:7" ht="11.25" customHeight="1" x14ac:dyDescent="0.25">
      <c r="A51" s="768">
        <v>44</v>
      </c>
      <c r="B51" s="482" t="s">
        <v>185</v>
      </c>
      <c r="C51" s="483" t="s">
        <v>186</v>
      </c>
      <c r="D51" s="887">
        <v>4505</v>
      </c>
      <c r="E51" s="768">
        <v>3065</v>
      </c>
      <c r="F51" s="887">
        <v>2041</v>
      </c>
      <c r="G51" s="476">
        <f t="shared" si="1"/>
        <v>9611</v>
      </c>
    </row>
    <row r="52" spans="1:7" ht="11.25" customHeight="1" x14ac:dyDescent="0.25">
      <c r="A52" s="768">
        <v>45</v>
      </c>
      <c r="B52" s="482" t="s">
        <v>187</v>
      </c>
      <c r="C52" s="483" t="s">
        <v>188</v>
      </c>
      <c r="D52" s="887">
        <v>959</v>
      </c>
      <c r="E52" s="768">
        <v>495</v>
      </c>
      <c r="F52" s="887">
        <v>330</v>
      </c>
      <c r="G52" s="476">
        <f t="shared" si="1"/>
        <v>1784</v>
      </c>
    </row>
    <row r="53" spans="1:7" ht="11.25" customHeight="1" x14ac:dyDescent="0.25">
      <c r="A53" s="768">
        <v>46</v>
      </c>
      <c r="B53" s="482" t="s">
        <v>22</v>
      </c>
      <c r="C53" s="483" t="s">
        <v>23</v>
      </c>
      <c r="D53" s="887">
        <v>2454</v>
      </c>
      <c r="E53" s="768"/>
      <c r="F53" s="887">
        <v>0</v>
      </c>
      <c r="G53" s="476">
        <f t="shared" si="1"/>
        <v>2454</v>
      </c>
    </row>
    <row r="54" spans="1:7" ht="11.25" customHeight="1" x14ac:dyDescent="0.25">
      <c r="A54" s="768">
        <v>47</v>
      </c>
      <c r="B54" s="482" t="s">
        <v>24</v>
      </c>
      <c r="C54" s="483" t="s">
        <v>25</v>
      </c>
      <c r="D54" s="887">
        <v>1930</v>
      </c>
      <c r="E54" s="768"/>
      <c r="F54" s="887">
        <v>0</v>
      </c>
      <c r="G54" s="476">
        <f t="shared" si="1"/>
        <v>1930</v>
      </c>
    </row>
    <row r="55" spans="1:7" ht="11.25" customHeight="1" x14ac:dyDescent="0.25">
      <c r="A55" s="768">
        <v>48</v>
      </c>
      <c r="B55" s="482" t="s">
        <v>193</v>
      </c>
      <c r="C55" s="483" t="s">
        <v>583</v>
      </c>
      <c r="D55" s="887">
        <v>2732</v>
      </c>
      <c r="E55" s="768"/>
      <c r="F55" s="887">
        <v>0</v>
      </c>
      <c r="G55" s="476">
        <f t="shared" si="1"/>
        <v>2732</v>
      </c>
    </row>
    <row r="56" spans="1:7" ht="11.25" customHeight="1" x14ac:dyDescent="0.25">
      <c r="A56" s="768">
        <v>49</v>
      </c>
      <c r="B56" s="482" t="s">
        <v>26</v>
      </c>
      <c r="C56" s="483" t="s">
        <v>27</v>
      </c>
      <c r="D56" s="887">
        <v>3507</v>
      </c>
      <c r="E56" s="768"/>
      <c r="F56" s="887">
        <v>0</v>
      </c>
      <c r="G56" s="476">
        <f t="shared" si="1"/>
        <v>3507</v>
      </c>
    </row>
    <row r="57" spans="1:7" ht="11.25" customHeight="1" x14ac:dyDescent="0.25">
      <c r="A57" s="768">
        <v>50</v>
      </c>
      <c r="B57" s="482" t="s">
        <v>28</v>
      </c>
      <c r="C57" s="483" t="s">
        <v>29</v>
      </c>
      <c r="D57" s="887">
        <v>2127</v>
      </c>
      <c r="E57" s="768"/>
      <c r="F57" s="887">
        <v>0</v>
      </c>
      <c r="G57" s="476">
        <f t="shared" si="1"/>
        <v>2127</v>
      </c>
    </row>
    <row r="58" spans="1:7" ht="11.25" customHeight="1" x14ac:dyDescent="0.25">
      <c r="A58" s="768">
        <v>51</v>
      </c>
      <c r="B58" s="482" t="s">
        <v>62</v>
      </c>
      <c r="C58" s="483" t="s">
        <v>200</v>
      </c>
      <c r="D58" s="887">
        <v>3816</v>
      </c>
      <c r="E58" s="768">
        <v>2596</v>
      </c>
      <c r="F58" s="887">
        <v>1729</v>
      </c>
      <c r="G58" s="476">
        <f t="shared" si="1"/>
        <v>8141</v>
      </c>
    </row>
    <row r="59" spans="1:7" ht="11.25" customHeight="1" x14ac:dyDescent="0.25">
      <c r="A59" s="768">
        <v>52</v>
      </c>
      <c r="B59" s="482" t="s">
        <v>64</v>
      </c>
      <c r="C59" s="483" t="s">
        <v>201</v>
      </c>
      <c r="D59" s="887">
        <v>2335</v>
      </c>
      <c r="E59" s="768">
        <v>1589</v>
      </c>
      <c r="F59" s="887">
        <v>1058</v>
      </c>
      <c r="G59" s="476">
        <f t="shared" si="1"/>
        <v>4982</v>
      </c>
    </row>
    <row r="60" spans="1:7" ht="11.25" customHeight="1" x14ac:dyDescent="0.25">
      <c r="A60" s="768">
        <v>53</v>
      </c>
      <c r="B60" s="482" t="s">
        <v>66</v>
      </c>
      <c r="C60" s="483" t="s">
        <v>202</v>
      </c>
      <c r="D60" s="887">
        <v>5159</v>
      </c>
      <c r="E60" s="768">
        <v>3510</v>
      </c>
      <c r="F60" s="887">
        <v>2338</v>
      </c>
      <c r="G60" s="476">
        <f t="shared" si="1"/>
        <v>11007</v>
      </c>
    </row>
    <row r="61" spans="1:7" ht="11.25" customHeight="1" x14ac:dyDescent="0.25">
      <c r="A61" s="768">
        <v>54</v>
      </c>
      <c r="B61" s="482" t="s">
        <v>217</v>
      </c>
      <c r="C61" s="483" t="s">
        <v>218</v>
      </c>
      <c r="D61" s="887">
        <v>4397</v>
      </c>
      <c r="E61" s="768">
        <v>1952</v>
      </c>
      <c r="F61" s="887">
        <v>1300</v>
      </c>
      <c r="G61" s="476">
        <f t="shared" si="1"/>
        <v>7649</v>
      </c>
    </row>
    <row r="62" spans="1:7" ht="11.25" customHeight="1" x14ac:dyDescent="0.25">
      <c r="A62" s="768">
        <v>55</v>
      </c>
      <c r="B62" s="482" t="s">
        <v>50</v>
      </c>
      <c r="C62" s="483" t="s">
        <v>219</v>
      </c>
      <c r="D62" s="887">
        <v>7296</v>
      </c>
      <c r="E62" s="768">
        <v>4739</v>
      </c>
      <c r="F62" s="887">
        <v>3157</v>
      </c>
      <c r="G62" s="476">
        <f t="shared" si="1"/>
        <v>15192</v>
      </c>
    </row>
    <row r="63" spans="1:7" ht="11.25" customHeight="1" x14ac:dyDescent="0.25">
      <c r="A63" s="768">
        <v>56</v>
      </c>
      <c r="B63" s="482" t="s">
        <v>52</v>
      </c>
      <c r="C63" s="483" t="s">
        <v>220</v>
      </c>
      <c r="D63" s="887">
        <v>6008</v>
      </c>
      <c r="E63" s="768">
        <v>4086</v>
      </c>
      <c r="F63" s="887">
        <v>2723</v>
      </c>
      <c r="G63" s="476">
        <f t="shared" si="1"/>
        <v>12817</v>
      </c>
    </row>
    <row r="64" spans="1:7" ht="11.25" customHeight="1" x14ac:dyDescent="0.25">
      <c r="A64" s="768">
        <v>57</v>
      </c>
      <c r="B64" s="482" t="s">
        <v>44</v>
      </c>
      <c r="C64" s="483" t="s">
        <v>221</v>
      </c>
      <c r="D64" s="887">
        <v>2527</v>
      </c>
      <c r="E64" s="768">
        <v>1719</v>
      </c>
      <c r="F64" s="887">
        <v>1145</v>
      </c>
      <c r="G64" s="476">
        <f t="shared" si="1"/>
        <v>5391</v>
      </c>
    </row>
    <row r="65" spans="1:7" ht="11.25" customHeight="1" x14ac:dyDescent="0.25">
      <c r="A65" s="768">
        <v>58</v>
      </c>
      <c r="B65" s="482" t="s">
        <v>54</v>
      </c>
      <c r="C65" s="483" t="s">
        <v>222</v>
      </c>
      <c r="D65" s="887">
        <v>6706</v>
      </c>
      <c r="E65" s="768">
        <v>4562</v>
      </c>
      <c r="F65" s="887">
        <v>3039</v>
      </c>
      <c r="G65" s="476">
        <f t="shared" si="1"/>
        <v>14307</v>
      </c>
    </row>
    <row r="66" spans="1:7" ht="11.25" customHeight="1" x14ac:dyDescent="0.25">
      <c r="A66" s="768">
        <v>59</v>
      </c>
      <c r="B66" s="482" t="s">
        <v>36</v>
      </c>
      <c r="C66" s="483" t="s">
        <v>37</v>
      </c>
      <c r="D66" s="887">
        <v>2018</v>
      </c>
      <c r="E66" s="768"/>
      <c r="F66" s="887">
        <v>0</v>
      </c>
      <c r="G66" s="476">
        <f t="shared" si="1"/>
        <v>2018</v>
      </c>
    </row>
    <row r="67" spans="1:7" ht="11.25" customHeight="1" x14ac:dyDescent="0.25">
      <c r="A67" s="768">
        <v>60</v>
      </c>
      <c r="B67" s="482" t="s">
        <v>48</v>
      </c>
      <c r="C67" s="483" t="s">
        <v>223</v>
      </c>
      <c r="D67" s="887">
        <v>5437</v>
      </c>
      <c r="E67" s="768">
        <v>3699</v>
      </c>
      <c r="F67" s="887">
        <v>2464</v>
      </c>
      <c r="G67" s="476">
        <f t="shared" si="1"/>
        <v>11600</v>
      </c>
    </row>
    <row r="68" spans="1:7" ht="11.25" customHeight="1" x14ac:dyDescent="0.25">
      <c r="A68" s="768">
        <v>61</v>
      </c>
      <c r="B68" s="482" t="s">
        <v>228</v>
      </c>
      <c r="C68" s="483" t="s">
        <v>573</v>
      </c>
      <c r="D68" s="887">
        <v>302</v>
      </c>
      <c r="E68" s="768">
        <v>205</v>
      </c>
      <c r="F68" s="887">
        <v>137</v>
      </c>
      <c r="G68" s="476">
        <f t="shared" si="1"/>
        <v>644</v>
      </c>
    </row>
    <row r="69" spans="1:7" ht="11.25" customHeight="1" x14ac:dyDescent="0.25">
      <c r="A69" s="768">
        <v>62</v>
      </c>
      <c r="B69" s="482" t="s">
        <v>235</v>
      </c>
      <c r="C69" s="483" t="s">
        <v>236</v>
      </c>
      <c r="D69" s="887">
        <v>242</v>
      </c>
      <c r="E69" s="768">
        <v>165</v>
      </c>
      <c r="F69" s="887">
        <v>110</v>
      </c>
      <c r="G69" s="476">
        <f t="shared" si="1"/>
        <v>517</v>
      </c>
    </row>
    <row r="70" spans="1:7" ht="11.25" customHeight="1" x14ac:dyDescent="0.25">
      <c r="A70" s="768">
        <v>63</v>
      </c>
      <c r="B70" s="482" t="s">
        <v>74</v>
      </c>
      <c r="C70" s="483" t="s">
        <v>237</v>
      </c>
      <c r="D70" s="887">
        <v>1418</v>
      </c>
      <c r="E70" s="768">
        <v>3101</v>
      </c>
      <c r="F70" s="887">
        <v>2065</v>
      </c>
      <c r="G70" s="476">
        <f t="shared" si="1"/>
        <v>6584</v>
      </c>
    </row>
    <row r="71" spans="1:7" ht="11.25" customHeight="1" x14ac:dyDescent="0.25">
      <c r="A71" s="768">
        <v>64</v>
      </c>
      <c r="B71" s="482" t="s">
        <v>38</v>
      </c>
      <c r="C71" s="483" t="s">
        <v>39</v>
      </c>
      <c r="D71" s="887">
        <v>814</v>
      </c>
      <c r="E71" s="768">
        <v>408</v>
      </c>
      <c r="F71" s="887">
        <v>271</v>
      </c>
      <c r="G71" s="476">
        <f t="shared" si="1"/>
        <v>1493</v>
      </c>
    </row>
    <row r="72" spans="1:7" ht="11.25" customHeight="1" x14ac:dyDescent="0.25">
      <c r="A72" s="768">
        <v>65</v>
      </c>
      <c r="B72" s="482" t="s">
        <v>40</v>
      </c>
      <c r="C72" s="483" t="s">
        <v>41</v>
      </c>
      <c r="D72" s="887">
        <v>0</v>
      </c>
      <c r="E72" s="768">
        <v>414</v>
      </c>
      <c r="F72" s="887">
        <v>276</v>
      </c>
      <c r="G72" s="476">
        <f t="shared" si="1"/>
        <v>690</v>
      </c>
    </row>
    <row r="73" spans="1:7" ht="11.25" customHeight="1" x14ac:dyDescent="0.25">
      <c r="A73" s="768">
        <v>66</v>
      </c>
      <c r="B73" s="482" t="s">
        <v>238</v>
      </c>
      <c r="C73" s="483" t="s">
        <v>239</v>
      </c>
      <c r="D73" s="887">
        <v>2381</v>
      </c>
      <c r="E73" s="768">
        <v>1145</v>
      </c>
      <c r="F73" s="887">
        <v>763</v>
      </c>
      <c r="G73" s="476">
        <f t="shared" si="1"/>
        <v>4289</v>
      </c>
    </row>
    <row r="74" spans="1:7" ht="11.25" customHeight="1" x14ac:dyDescent="0.25">
      <c r="A74" s="768">
        <v>67</v>
      </c>
      <c r="B74" s="482" t="s">
        <v>240</v>
      </c>
      <c r="C74" s="483" t="s">
        <v>241</v>
      </c>
      <c r="D74" s="887">
        <v>732</v>
      </c>
      <c r="E74" s="768">
        <v>498</v>
      </c>
      <c r="F74" s="887">
        <v>332</v>
      </c>
      <c r="G74" s="476">
        <f t="shared" ref="G74:G92" si="2">SUM(D74:F74)</f>
        <v>1562</v>
      </c>
    </row>
    <row r="75" spans="1:7" ht="11.25" customHeight="1" x14ac:dyDescent="0.25">
      <c r="A75" s="768">
        <v>68</v>
      </c>
      <c r="B75" s="482" t="s">
        <v>88</v>
      </c>
      <c r="C75" s="483" t="s">
        <v>89</v>
      </c>
      <c r="D75" s="887">
        <v>1214</v>
      </c>
      <c r="E75" s="768">
        <v>637</v>
      </c>
      <c r="F75" s="887">
        <v>424</v>
      </c>
      <c r="G75" s="476">
        <f t="shared" si="2"/>
        <v>2275</v>
      </c>
    </row>
    <row r="76" spans="1:7" ht="11.25" customHeight="1" x14ac:dyDescent="0.25">
      <c r="A76" s="768">
        <v>69</v>
      </c>
      <c r="B76" s="482" t="s">
        <v>244</v>
      </c>
      <c r="C76" s="483" t="s">
        <v>245</v>
      </c>
      <c r="D76" s="887">
        <v>1581</v>
      </c>
      <c r="E76" s="768">
        <v>1075</v>
      </c>
      <c r="F76" s="887">
        <v>716</v>
      </c>
      <c r="G76" s="476">
        <f t="shared" si="2"/>
        <v>3372</v>
      </c>
    </row>
    <row r="77" spans="1:7" ht="11.25" customHeight="1" x14ac:dyDescent="0.25">
      <c r="A77" s="768">
        <v>70</v>
      </c>
      <c r="B77" s="482" t="s">
        <v>246</v>
      </c>
      <c r="C77" s="483" t="s">
        <v>247</v>
      </c>
      <c r="D77" s="887">
        <v>553</v>
      </c>
      <c r="E77" s="768">
        <v>376</v>
      </c>
      <c r="F77" s="887">
        <v>250</v>
      </c>
      <c r="G77" s="476">
        <f t="shared" si="2"/>
        <v>1179</v>
      </c>
    </row>
    <row r="78" spans="1:7" ht="11.25" customHeight="1" x14ac:dyDescent="0.25">
      <c r="A78" s="768">
        <v>71</v>
      </c>
      <c r="B78" s="482" t="s">
        <v>248</v>
      </c>
      <c r="C78" s="483" t="s">
        <v>249</v>
      </c>
      <c r="D78" s="887">
        <v>871</v>
      </c>
      <c r="E78" s="768">
        <v>593</v>
      </c>
      <c r="F78" s="887">
        <v>395</v>
      </c>
      <c r="G78" s="476">
        <f t="shared" si="2"/>
        <v>1859</v>
      </c>
    </row>
    <row r="79" spans="1:7" ht="11.25" customHeight="1" x14ac:dyDescent="0.25">
      <c r="A79" s="768">
        <v>72</v>
      </c>
      <c r="B79" s="482" t="s">
        <v>250</v>
      </c>
      <c r="C79" s="483" t="s">
        <v>251</v>
      </c>
      <c r="D79" s="887">
        <v>1150</v>
      </c>
      <c r="E79" s="768">
        <v>556</v>
      </c>
      <c r="F79" s="887">
        <v>370</v>
      </c>
      <c r="G79" s="476">
        <f t="shared" si="2"/>
        <v>2076</v>
      </c>
    </row>
    <row r="80" spans="1:7" ht="11.25" customHeight="1" x14ac:dyDescent="0.25">
      <c r="A80" s="768">
        <v>73</v>
      </c>
      <c r="B80" s="482" t="s">
        <v>32</v>
      </c>
      <c r="C80" s="483" t="s">
        <v>33</v>
      </c>
      <c r="D80" s="887">
        <v>2287</v>
      </c>
      <c r="E80" s="768">
        <v>668</v>
      </c>
      <c r="F80" s="887">
        <v>445</v>
      </c>
      <c r="G80" s="476">
        <f t="shared" si="2"/>
        <v>3400</v>
      </c>
    </row>
    <row r="81" spans="1:7" ht="11.25" customHeight="1" x14ac:dyDescent="0.25">
      <c r="A81" s="768">
        <v>74</v>
      </c>
      <c r="B81" s="482" t="s">
        <v>252</v>
      </c>
      <c r="C81" s="483" t="s">
        <v>253</v>
      </c>
      <c r="D81" s="887">
        <v>629</v>
      </c>
      <c r="E81" s="768">
        <v>428</v>
      </c>
      <c r="F81" s="887">
        <v>285</v>
      </c>
      <c r="G81" s="476">
        <f t="shared" si="2"/>
        <v>1342</v>
      </c>
    </row>
    <row r="82" spans="1:7" ht="11.25" customHeight="1" x14ac:dyDescent="0.25">
      <c r="A82" s="768">
        <v>75</v>
      </c>
      <c r="B82" s="482" t="s">
        <v>254</v>
      </c>
      <c r="C82" s="483" t="s">
        <v>255</v>
      </c>
      <c r="D82" s="887">
        <v>1287</v>
      </c>
      <c r="E82" s="768">
        <v>655</v>
      </c>
      <c r="F82" s="887">
        <v>435</v>
      </c>
      <c r="G82" s="476">
        <f t="shared" si="2"/>
        <v>2377</v>
      </c>
    </row>
    <row r="83" spans="1:7" ht="11.25" customHeight="1" x14ac:dyDescent="0.25">
      <c r="A83" s="768">
        <v>76</v>
      </c>
      <c r="B83" s="482" t="s">
        <v>256</v>
      </c>
      <c r="C83" s="483" t="s">
        <v>257</v>
      </c>
      <c r="D83" s="887">
        <v>1663</v>
      </c>
      <c r="E83" s="768">
        <v>1130</v>
      </c>
      <c r="F83" s="887">
        <v>754</v>
      </c>
      <c r="G83" s="476">
        <f t="shared" si="2"/>
        <v>3547</v>
      </c>
    </row>
    <row r="84" spans="1:7" ht="11.25" customHeight="1" x14ac:dyDescent="0.25">
      <c r="A84" s="768">
        <v>77</v>
      </c>
      <c r="B84" s="482" t="s">
        <v>76</v>
      </c>
      <c r="C84" s="483" t="s">
        <v>77</v>
      </c>
      <c r="D84" s="887">
        <v>761</v>
      </c>
      <c r="E84" s="768">
        <v>517</v>
      </c>
      <c r="F84" s="887">
        <v>345</v>
      </c>
      <c r="G84" s="476">
        <f t="shared" si="2"/>
        <v>1623</v>
      </c>
    </row>
    <row r="85" spans="1:7" ht="11.25" customHeight="1" x14ac:dyDescent="0.25">
      <c r="A85" s="768">
        <v>78</v>
      </c>
      <c r="B85" s="482" t="s">
        <v>294</v>
      </c>
      <c r="C85" s="483" t="s">
        <v>616</v>
      </c>
      <c r="D85" s="887">
        <v>584</v>
      </c>
      <c r="E85" s="768">
        <v>569</v>
      </c>
      <c r="F85" s="887">
        <v>715</v>
      </c>
      <c r="G85" s="476">
        <f t="shared" si="2"/>
        <v>1868</v>
      </c>
    </row>
    <row r="86" spans="1:7" ht="11.25" customHeight="1" x14ac:dyDescent="0.25">
      <c r="A86" s="768">
        <v>79</v>
      </c>
      <c r="B86" s="482" t="s">
        <v>70</v>
      </c>
      <c r="C86" s="483" t="s">
        <v>296</v>
      </c>
      <c r="D86" s="887">
        <v>3000</v>
      </c>
      <c r="E86" s="768"/>
      <c r="F86" s="887">
        <v>0</v>
      </c>
      <c r="G86" s="476">
        <f t="shared" si="2"/>
        <v>3000</v>
      </c>
    </row>
    <row r="87" spans="1:7" ht="11.25" customHeight="1" x14ac:dyDescent="0.25">
      <c r="A87" s="768">
        <v>80</v>
      </c>
      <c r="B87" s="482" t="s">
        <v>72</v>
      </c>
      <c r="C87" s="483" t="s">
        <v>73</v>
      </c>
      <c r="D87" s="887">
        <v>10500</v>
      </c>
      <c r="E87" s="768">
        <v>1200</v>
      </c>
      <c r="F87" s="887">
        <v>500</v>
      </c>
      <c r="G87" s="476">
        <f t="shared" si="2"/>
        <v>12200</v>
      </c>
    </row>
    <row r="88" spans="1:7" ht="11.25" customHeight="1" x14ac:dyDescent="0.25">
      <c r="A88" s="768">
        <v>81</v>
      </c>
      <c r="B88" s="482" t="s">
        <v>34</v>
      </c>
      <c r="C88" s="483" t="s">
        <v>35</v>
      </c>
      <c r="D88" s="887">
        <v>3457</v>
      </c>
      <c r="E88" s="768"/>
      <c r="F88" s="887">
        <v>0</v>
      </c>
      <c r="G88" s="476">
        <f t="shared" si="2"/>
        <v>3457</v>
      </c>
    </row>
    <row r="89" spans="1:7" ht="11.25" customHeight="1" x14ac:dyDescent="0.25">
      <c r="A89" s="768">
        <v>82</v>
      </c>
      <c r="B89" s="482" t="s">
        <v>299</v>
      </c>
      <c r="C89" s="483" t="s">
        <v>300</v>
      </c>
      <c r="D89" s="887">
        <v>700</v>
      </c>
      <c r="E89" s="768"/>
      <c r="F89" s="887">
        <v>0</v>
      </c>
      <c r="G89" s="476">
        <f t="shared" si="2"/>
        <v>700</v>
      </c>
    </row>
    <row r="90" spans="1:7" ht="11.25" customHeight="1" x14ac:dyDescent="0.25">
      <c r="A90" s="768">
        <v>83</v>
      </c>
      <c r="B90" s="482" t="s">
        <v>68</v>
      </c>
      <c r="C90" s="483" t="s">
        <v>69</v>
      </c>
      <c r="D90" s="887">
        <v>432</v>
      </c>
      <c r="E90" s="768">
        <v>850</v>
      </c>
      <c r="F90" s="887">
        <v>550</v>
      </c>
      <c r="G90" s="476">
        <f t="shared" si="2"/>
        <v>1832</v>
      </c>
    </row>
    <row r="91" spans="1:7" ht="11.25" customHeight="1" x14ac:dyDescent="0.25">
      <c r="A91" s="768">
        <v>84</v>
      </c>
      <c r="B91" s="482" t="s">
        <v>60</v>
      </c>
      <c r="C91" s="483" t="s">
        <v>303</v>
      </c>
      <c r="D91" s="887">
        <v>2916</v>
      </c>
      <c r="E91" s="768">
        <v>1984</v>
      </c>
      <c r="F91" s="887">
        <v>1355</v>
      </c>
      <c r="G91" s="476">
        <f t="shared" si="2"/>
        <v>6255</v>
      </c>
    </row>
    <row r="92" spans="1:7" ht="11.25" customHeight="1" x14ac:dyDescent="0.25">
      <c r="A92" s="768">
        <v>85</v>
      </c>
      <c r="B92" s="482" t="s">
        <v>56</v>
      </c>
      <c r="C92" s="483" t="s">
        <v>304</v>
      </c>
      <c r="D92" s="887">
        <v>3962</v>
      </c>
      <c r="E92" s="768">
        <v>2165</v>
      </c>
      <c r="F92" s="887">
        <v>1442</v>
      </c>
      <c r="G92" s="476">
        <f t="shared" si="2"/>
        <v>7569</v>
      </c>
    </row>
    <row r="93" spans="1:7" ht="11.25" customHeight="1" x14ac:dyDescent="0.25">
      <c r="C93" s="471"/>
    </row>
    <row r="94" spans="1:7" ht="11.25" customHeight="1" x14ac:dyDescent="0.25">
      <c r="C94" s="484"/>
      <c r="D94" s="485"/>
      <c r="E94" s="485"/>
      <c r="F94" s="485"/>
      <c r="G94" s="485"/>
    </row>
    <row r="95" spans="1:7" ht="11.25" customHeight="1" x14ac:dyDescent="0.25">
      <c r="C95" s="484"/>
    </row>
    <row r="96" spans="1:7" ht="11.25" customHeight="1" x14ac:dyDescent="0.25"/>
    <row r="98" ht="11.25" customHeight="1" x14ac:dyDescent="0.25"/>
    <row r="99" ht="11.25" customHeight="1" x14ac:dyDescent="0.25"/>
    <row r="100" ht="15.75" customHeight="1" x14ac:dyDescent="0.25"/>
    <row r="101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6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  <pageSetUpPr fitToPage="1"/>
  </sheetPr>
  <dimension ref="A1:Y242"/>
  <sheetViews>
    <sheetView zoomScale="90" zoomScaleNormal="90" zoomScaleSheetLayoutView="85" workbookViewId="0">
      <pane xSplit="3" ySplit="5" topLeftCell="D6" activePane="bottomRight" state="frozen"/>
      <selection activeCell="F95" sqref="F95"/>
      <selection pane="topRight" activeCell="F95" sqref="F95"/>
      <selection pane="bottomLeft" activeCell="F95" sqref="F95"/>
      <selection pane="bottomRight" sqref="A1:Y1"/>
    </sheetView>
  </sheetViews>
  <sheetFormatPr defaultRowHeight="15" x14ac:dyDescent="0.25"/>
  <cols>
    <col min="1" max="1" width="4" style="486" customWidth="1"/>
    <col min="2" max="2" width="8.28515625" style="486" customWidth="1"/>
    <col min="3" max="3" width="30.7109375" style="510" customWidth="1"/>
    <col min="4" max="4" width="11.42578125" style="511" customWidth="1"/>
    <col min="5" max="5" width="9.140625" style="508" customWidth="1"/>
    <col min="6" max="6" width="11.42578125" style="489" customWidth="1"/>
    <col min="7" max="7" width="15.85546875" style="489" customWidth="1"/>
    <col min="8" max="8" width="8.140625" style="486" customWidth="1"/>
    <col min="9" max="10" width="9" style="486" customWidth="1"/>
    <col min="11" max="11" width="12.7109375" style="486" customWidth="1"/>
    <col min="12" max="12" width="8.7109375" style="486" customWidth="1"/>
    <col min="13" max="13" width="8.5703125" style="486" customWidth="1"/>
    <col min="14" max="14" width="9.140625" style="486" customWidth="1"/>
    <col min="15" max="15" width="8.7109375" style="486" customWidth="1"/>
    <col min="16" max="16" width="11.140625" style="486" customWidth="1"/>
    <col min="17" max="22" width="13.42578125" style="486" customWidth="1"/>
    <col min="23" max="23" width="17.85546875" style="486" customWidth="1"/>
    <col min="24" max="24" width="9.5703125" style="486" customWidth="1"/>
    <col min="25" max="25" width="10.140625" style="486" customWidth="1"/>
    <col min="26" max="16384" width="9.140625" style="486"/>
  </cols>
  <sheetData>
    <row r="1" spans="1:25" ht="27" customHeight="1" x14ac:dyDescent="0.25">
      <c r="A1" s="1296" t="s">
        <v>617</v>
      </c>
      <c r="B1" s="1296"/>
      <c r="C1" s="1296"/>
      <c r="D1" s="1296"/>
      <c r="E1" s="1296"/>
      <c r="F1" s="1296"/>
      <c r="G1" s="1296"/>
      <c r="H1" s="1296"/>
      <c r="I1" s="1296"/>
      <c r="J1" s="1296"/>
      <c r="K1" s="1296"/>
      <c r="L1" s="1296"/>
      <c r="M1" s="1296"/>
      <c r="N1" s="1296"/>
      <c r="O1" s="1296"/>
      <c r="P1" s="1296"/>
      <c r="Q1" s="1296"/>
      <c r="R1" s="1296"/>
      <c r="S1" s="1296"/>
      <c r="T1" s="1296"/>
      <c r="U1" s="1296"/>
      <c r="V1" s="1296"/>
      <c r="W1" s="1296"/>
      <c r="X1" s="1296"/>
      <c r="Y1" s="1296"/>
    </row>
    <row r="2" spans="1:25" ht="2.25" customHeight="1" thickBot="1" x14ac:dyDescent="0.3">
      <c r="C2" s="487"/>
      <c r="D2" s="488"/>
      <c r="E2" s="488"/>
      <c r="P2" s="772"/>
      <c r="Q2" s="772"/>
      <c r="R2" s="772"/>
      <c r="S2" s="772"/>
      <c r="T2" s="772"/>
      <c r="U2" s="772"/>
      <c r="V2" s="772"/>
      <c r="W2" s="1297" t="s">
        <v>618</v>
      </c>
      <c r="X2" s="1297"/>
      <c r="Y2" s="1297"/>
    </row>
    <row r="3" spans="1:25" s="490" customFormat="1" ht="72" customHeight="1" x14ac:dyDescent="0.25">
      <c r="A3" s="1298" t="s">
        <v>0</v>
      </c>
      <c r="B3" s="1300" t="s">
        <v>1</v>
      </c>
      <c r="C3" s="1300" t="s">
        <v>93</v>
      </c>
      <c r="D3" s="1302" t="s">
        <v>619</v>
      </c>
      <c r="E3" s="1303"/>
      <c r="F3" s="1303"/>
      <c r="G3" s="1303"/>
      <c r="H3" s="1303"/>
      <c r="I3" s="1303"/>
      <c r="J3" s="1303"/>
      <c r="K3" s="1304"/>
      <c r="L3" s="1305" t="s">
        <v>620</v>
      </c>
      <c r="M3" s="1306"/>
      <c r="N3" s="1306"/>
      <c r="O3" s="1306"/>
      <c r="P3" s="1307"/>
      <c r="Q3" s="1308" t="s">
        <v>621</v>
      </c>
      <c r="R3" s="1309"/>
      <c r="S3" s="1309"/>
      <c r="T3" s="1309"/>
      <c r="U3" s="1309"/>
      <c r="V3" s="1309"/>
      <c r="W3" s="1309"/>
      <c r="X3" s="1310"/>
      <c r="Y3" s="1311"/>
    </row>
    <row r="4" spans="1:25" s="490" customFormat="1" ht="67.5" customHeight="1" x14ac:dyDescent="0.25">
      <c r="A4" s="1299"/>
      <c r="B4" s="1301"/>
      <c r="C4" s="1301"/>
      <c r="D4" s="1312" t="s">
        <v>622</v>
      </c>
      <c r="E4" s="1314" t="s">
        <v>623</v>
      </c>
      <c r="F4" s="769" t="s">
        <v>624</v>
      </c>
      <c r="G4" s="1316" t="s">
        <v>781</v>
      </c>
      <c r="H4" s="1301" t="s">
        <v>412</v>
      </c>
      <c r="I4" s="1301"/>
      <c r="J4" s="1301"/>
      <c r="K4" s="1318" t="s">
        <v>331</v>
      </c>
      <c r="L4" s="1320" t="s">
        <v>625</v>
      </c>
      <c r="M4" s="1291" t="s">
        <v>626</v>
      </c>
      <c r="N4" s="1291" t="s">
        <v>627</v>
      </c>
      <c r="O4" s="1291" t="s">
        <v>628</v>
      </c>
      <c r="P4" s="1293" t="s">
        <v>331</v>
      </c>
      <c r="Q4" s="1294" t="s">
        <v>629</v>
      </c>
      <c r="R4" s="1285" t="s">
        <v>630</v>
      </c>
      <c r="S4" s="1285" t="s">
        <v>631</v>
      </c>
      <c r="T4" s="1285" t="s">
        <v>632</v>
      </c>
      <c r="U4" s="1285" t="s">
        <v>633</v>
      </c>
      <c r="V4" s="1285" t="s">
        <v>634</v>
      </c>
      <c r="W4" s="1287" t="s">
        <v>635</v>
      </c>
      <c r="X4" s="1289" t="s">
        <v>636</v>
      </c>
      <c r="Y4" s="1283" t="s">
        <v>331</v>
      </c>
    </row>
    <row r="5" spans="1:25" s="490" customFormat="1" ht="51.75" customHeight="1" x14ac:dyDescent="0.25">
      <c r="A5" s="1299"/>
      <c r="B5" s="1301"/>
      <c r="C5" s="1301"/>
      <c r="D5" s="1313"/>
      <c r="E5" s="1315"/>
      <c r="F5" s="491" t="s">
        <v>637</v>
      </c>
      <c r="G5" s="1317"/>
      <c r="H5" s="770" t="s">
        <v>638</v>
      </c>
      <c r="I5" s="770" t="s">
        <v>639</v>
      </c>
      <c r="J5" s="770" t="s">
        <v>640</v>
      </c>
      <c r="K5" s="1319"/>
      <c r="L5" s="1321"/>
      <c r="M5" s="1292"/>
      <c r="N5" s="1292"/>
      <c r="O5" s="1292"/>
      <c r="P5" s="1284"/>
      <c r="Q5" s="1295"/>
      <c r="R5" s="1286"/>
      <c r="S5" s="1286"/>
      <c r="T5" s="1286"/>
      <c r="U5" s="1286"/>
      <c r="V5" s="1286"/>
      <c r="W5" s="1288"/>
      <c r="X5" s="1290"/>
      <c r="Y5" s="1284"/>
    </row>
    <row r="6" spans="1:25" s="496" customFormat="1" ht="12.75" customHeight="1" x14ac:dyDescent="0.25">
      <c r="A6" s="773"/>
      <c r="B6" s="492"/>
      <c r="C6" s="493" t="s">
        <v>331</v>
      </c>
      <c r="D6" s="774">
        <f>D7+D8</f>
        <v>92588</v>
      </c>
      <c r="E6" s="775">
        <f t="shared" ref="E6:Y6" si="0">E7+E8</f>
        <v>4810</v>
      </c>
      <c r="F6" s="494">
        <f t="shared" si="0"/>
        <v>12171</v>
      </c>
      <c r="G6" s="494">
        <f t="shared" si="0"/>
        <v>10675</v>
      </c>
      <c r="H6" s="495">
        <f t="shared" si="0"/>
        <v>8260</v>
      </c>
      <c r="I6" s="495">
        <f t="shared" si="0"/>
        <v>549</v>
      </c>
      <c r="J6" s="495">
        <f t="shared" si="0"/>
        <v>1866</v>
      </c>
      <c r="K6" s="776">
        <f t="shared" si="0"/>
        <v>120244</v>
      </c>
      <c r="L6" s="777">
        <f t="shared" si="0"/>
        <v>1687</v>
      </c>
      <c r="M6" s="778">
        <f t="shared" si="0"/>
        <v>8285</v>
      </c>
      <c r="N6" s="778">
        <f t="shared" si="0"/>
        <v>29750</v>
      </c>
      <c r="O6" s="778">
        <f t="shared" si="0"/>
        <v>19362</v>
      </c>
      <c r="P6" s="779">
        <f t="shared" si="0"/>
        <v>59084</v>
      </c>
      <c r="Q6" s="780">
        <f t="shared" si="0"/>
        <v>270</v>
      </c>
      <c r="R6" s="781">
        <f t="shared" si="0"/>
        <v>550</v>
      </c>
      <c r="S6" s="781">
        <f t="shared" si="0"/>
        <v>290</v>
      </c>
      <c r="T6" s="781">
        <f t="shared" si="0"/>
        <v>290</v>
      </c>
      <c r="U6" s="781">
        <f t="shared" si="0"/>
        <v>450</v>
      </c>
      <c r="V6" s="781">
        <f t="shared" si="0"/>
        <v>1100</v>
      </c>
      <c r="W6" s="781">
        <f t="shared" si="0"/>
        <v>1394</v>
      </c>
      <c r="X6" s="781">
        <f t="shared" si="0"/>
        <v>12</v>
      </c>
      <c r="Y6" s="779">
        <f t="shared" si="0"/>
        <v>4356</v>
      </c>
    </row>
    <row r="7" spans="1:25" s="496" customFormat="1" ht="12.75" customHeight="1" x14ac:dyDescent="0.25">
      <c r="A7" s="773"/>
      <c r="B7" s="492"/>
      <c r="C7" s="497" t="s">
        <v>105</v>
      </c>
      <c r="D7" s="774">
        <v>0</v>
      </c>
      <c r="E7" s="775">
        <v>0</v>
      </c>
      <c r="F7" s="494">
        <v>0</v>
      </c>
      <c r="G7" s="494">
        <v>0</v>
      </c>
      <c r="H7" s="495">
        <v>0</v>
      </c>
      <c r="I7" s="495">
        <v>0</v>
      </c>
      <c r="J7" s="495">
        <v>0</v>
      </c>
      <c r="K7" s="776">
        <v>0</v>
      </c>
      <c r="L7" s="777">
        <v>0</v>
      </c>
      <c r="M7" s="778">
        <v>0</v>
      </c>
      <c r="N7" s="778">
        <v>0</v>
      </c>
      <c r="O7" s="778">
        <v>0</v>
      </c>
      <c r="P7" s="779">
        <v>0</v>
      </c>
      <c r="Q7" s="780">
        <v>0</v>
      </c>
      <c r="R7" s="781">
        <v>0</v>
      </c>
      <c r="S7" s="781">
        <v>0</v>
      </c>
      <c r="T7" s="781">
        <v>0</v>
      </c>
      <c r="U7" s="781">
        <v>0</v>
      </c>
      <c r="V7" s="781">
        <v>0</v>
      </c>
      <c r="W7" s="781">
        <v>0</v>
      </c>
      <c r="X7" s="781">
        <v>0</v>
      </c>
      <c r="Y7" s="779">
        <v>0</v>
      </c>
    </row>
    <row r="8" spans="1:25" s="496" customFormat="1" ht="12" customHeight="1" x14ac:dyDescent="0.25">
      <c r="A8" s="773"/>
      <c r="B8" s="492"/>
      <c r="C8" s="497" t="s">
        <v>108</v>
      </c>
      <c r="D8" s="774">
        <f t="shared" ref="D8:Y8" si="1">SUM(D9:D95)</f>
        <v>92588</v>
      </c>
      <c r="E8" s="775">
        <f t="shared" si="1"/>
        <v>4810</v>
      </c>
      <c r="F8" s="494">
        <f t="shared" si="1"/>
        <v>12171</v>
      </c>
      <c r="G8" s="494">
        <f t="shared" si="1"/>
        <v>10675</v>
      </c>
      <c r="H8" s="495">
        <f t="shared" si="1"/>
        <v>8260</v>
      </c>
      <c r="I8" s="495">
        <f t="shared" si="1"/>
        <v>549</v>
      </c>
      <c r="J8" s="495">
        <f t="shared" si="1"/>
        <v>1866</v>
      </c>
      <c r="K8" s="776">
        <f t="shared" si="1"/>
        <v>120244</v>
      </c>
      <c r="L8" s="777">
        <f t="shared" si="1"/>
        <v>1687</v>
      </c>
      <c r="M8" s="778">
        <f t="shared" si="1"/>
        <v>8285</v>
      </c>
      <c r="N8" s="778">
        <f t="shared" si="1"/>
        <v>29750</v>
      </c>
      <c r="O8" s="778">
        <f t="shared" si="1"/>
        <v>19362</v>
      </c>
      <c r="P8" s="779">
        <f t="shared" si="1"/>
        <v>59084</v>
      </c>
      <c r="Q8" s="780">
        <f t="shared" si="1"/>
        <v>270</v>
      </c>
      <c r="R8" s="781">
        <f t="shared" si="1"/>
        <v>550</v>
      </c>
      <c r="S8" s="781">
        <f t="shared" si="1"/>
        <v>290</v>
      </c>
      <c r="T8" s="781">
        <f t="shared" si="1"/>
        <v>290</v>
      </c>
      <c r="U8" s="781">
        <f t="shared" si="1"/>
        <v>450</v>
      </c>
      <c r="V8" s="781">
        <f t="shared" si="1"/>
        <v>1100</v>
      </c>
      <c r="W8" s="781">
        <f t="shared" si="1"/>
        <v>1394</v>
      </c>
      <c r="X8" s="781">
        <f t="shared" si="1"/>
        <v>12</v>
      </c>
      <c r="Y8" s="782">
        <f t="shared" si="1"/>
        <v>4356</v>
      </c>
    </row>
    <row r="9" spans="1:25" s="490" customFormat="1" ht="13.5" customHeight="1" x14ac:dyDescent="0.25">
      <c r="A9" s="783">
        <v>1</v>
      </c>
      <c r="B9" s="498" t="s">
        <v>70</v>
      </c>
      <c r="C9" s="498" t="s">
        <v>296</v>
      </c>
      <c r="D9" s="784">
        <v>3900</v>
      </c>
      <c r="E9" s="784">
        <v>3000</v>
      </c>
      <c r="F9" s="499">
        <v>2250</v>
      </c>
      <c r="G9" s="499">
        <f>H9+I9+J9</f>
        <v>1653</v>
      </c>
      <c r="H9" s="492">
        <v>821</v>
      </c>
      <c r="I9" s="492">
        <v>94</v>
      </c>
      <c r="J9" s="492">
        <v>738</v>
      </c>
      <c r="K9" s="785">
        <f>D9+E9+F9+G9</f>
        <v>10803</v>
      </c>
      <c r="L9" s="500">
        <v>206</v>
      </c>
      <c r="M9" s="500">
        <v>183</v>
      </c>
      <c r="N9" s="500">
        <v>7280</v>
      </c>
      <c r="O9" s="500">
        <v>4932</v>
      </c>
      <c r="P9" s="492">
        <f>L9+M9+N9+O9</f>
        <v>12601</v>
      </c>
      <c r="Q9" s="786"/>
      <c r="R9" s="784"/>
      <c r="S9" s="784"/>
      <c r="T9" s="784"/>
      <c r="U9" s="784"/>
      <c r="V9" s="784"/>
      <c r="W9" s="784"/>
      <c r="X9" s="787"/>
      <c r="Y9" s="788"/>
    </row>
    <row r="10" spans="1:25" s="490" customFormat="1" ht="13.5" customHeight="1" x14ac:dyDescent="0.25">
      <c r="A10" s="783">
        <v>2</v>
      </c>
      <c r="B10" s="498" t="s">
        <v>131</v>
      </c>
      <c r="C10" s="498" t="s">
        <v>132</v>
      </c>
      <c r="D10" s="784">
        <v>530</v>
      </c>
      <c r="E10" s="784"/>
      <c r="F10" s="499">
        <v>68</v>
      </c>
      <c r="G10" s="499">
        <f>H10+I10+J10</f>
        <v>71</v>
      </c>
      <c r="H10" s="492">
        <v>71</v>
      </c>
      <c r="I10" s="492">
        <v>0</v>
      </c>
      <c r="J10" s="492">
        <v>0</v>
      </c>
      <c r="K10" s="785">
        <f t="shared" ref="K10:K73" si="2">D10+E10+F10+G10</f>
        <v>669</v>
      </c>
      <c r="L10" s="500">
        <v>0</v>
      </c>
      <c r="M10" s="500">
        <v>0</v>
      </c>
      <c r="N10" s="500">
        <v>0</v>
      </c>
      <c r="O10" s="500">
        <v>0</v>
      </c>
      <c r="P10" s="492">
        <f t="shared" ref="P10:P73" si="3">L10+M10+N10+O10</f>
        <v>0</v>
      </c>
      <c r="Q10" s="786"/>
      <c r="R10" s="784"/>
      <c r="S10" s="784"/>
      <c r="T10" s="784"/>
      <c r="U10" s="784"/>
      <c r="V10" s="784"/>
      <c r="W10" s="784"/>
      <c r="X10" s="787"/>
      <c r="Y10" s="789"/>
    </row>
    <row r="11" spans="1:25" s="490" customFormat="1" ht="13.5" customHeight="1" x14ac:dyDescent="0.25">
      <c r="A11" s="783">
        <v>3</v>
      </c>
      <c r="B11" s="498" t="s">
        <v>38</v>
      </c>
      <c r="C11" s="498" t="s">
        <v>39</v>
      </c>
      <c r="D11" s="784">
        <v>327</v>
      </c>
      <c r="E11" s="784">
        <v>8</v>
      </c>
      <c r="F11" s="499">
        <v>0</v>
      </c>
      <c r="G11" s="499">
        <f t="shared" ref="G11:G74" si="4">H11+I11+J11</f>
        <v>0</v>
      </c>
      <c r="H11" s="492">
        <v>0</v>
      </c>
      <c r="I11" s="492">
        <v>0</v>
      </c>
      <c r="J11" s="492">
        <v>0</v>
      </c>
      <c r="K11" s="785">
        <f t="shared" si="2"/>
        <v>335</v>
      </c>
      <c r="L11" s="500">
        <v>0</v>
      </c>
      <c r="M11" s="500">
        <v>0</v>
      </c>
      <c r="N11" s="500">
        <v>0</v>
      </c>
      <c r="O11" s="500">
        <v>0</v>
      </c>
      <c r="P11" s="492">
        <f t="shared" si="3"/>
        <v>0</v>
      </c>
      <c r="Q11" s="786"/>
      <c r="R11" s="784"/>
      <c r="S11" s="784"/>
      <c r="T11" s="784"/>
      <c r="U11" s="784"/>
      <c r="V11" s="784"/>
      <c r="W11" s="784"/>
      <c r="X11" s="787"/>
      <c r="Y11" s="789"/>
    </row>
    <row r="12" spans="1:25" s="490" customFormat="1" ht="13.5" customHeight="1" x14ac:dyDescent="0.25">
      <c r="A12" s="783">
        <v>4</v>
      </c>
      <c r="B12" s="498" t="s">
        <v>133</v>
      </c>
      <c r="C12" s="498" t="s">
        <v>134</v>
      </c>
      <c r="D12" s="784">
        <v>720</v>
      </c>
      <c r="E12" s="784"/>
      <c r="F12" s="499">
        <v>92</v>
      </c>
      <c r="G12" s="499">
        <f t="shared" si="4"/>
        <v>0</v>
      </c>
      <c r="H12" s="492">
        <v>0</v>
      </c>
      <c r="I12" s="492">
        <v>0</v>
      </c>
      <c r="J12" s="492">
        <v>0</v>
      </c>
      <c r="K12" s="785">
        <f t="shared" si="2"/>
        <v>812</v>
      </c>
      <c r="L12" s="500">
        <v>0</v>
      </c>
      <c r="M12" s="500">
        <v>0</v>
      </c>
      <c r="N12" s="500">
        <v>0</v>
      </c>
      <c r="O12" s="500">
        <v>0</v>
      </c>
      <c r="P12" s="492">
        <f t="shared" si="3"/>
        <v>0</v>
      </c>
      <c r="Q12" s="786"/>
      <c r="R12" s="784"/>
      <c r="S12" s="784"/>
      <c r="T12" s="784"/>
      <c r="U12" s="784"/>
      <c r="V12" s="784"/>
      <c r="W12" s="784"/>
      <c r="X12" s="787"/>
      <c r="Y12" s="789"/>
    </row>
    <row r="13" spans="1:25" s="490" customFormat="1" ht="13.5" customHeight="1" x14ac:dyDescent="0.25">
      <c r="A13" s="783">
        <v>5</v>
      </c>
      <c r="B13" s="498" t="s">
        <v>109</v>
      </c>
      <c r="C13" s="498" t="s">
        <v>110</v>
      </c>
      <c r="D13" s="784">
        <v>356</v>
      </c>
      <c r="E13" s="784"/>
      <c r="F13" s="499">
        <v>0</v>
      </c>
      <c r="G13" s="499">
        <f t="shared" si="4"/>
        <v>0</v>
      </c>
      <c r="H13" s="492">
        <v>0</v>
      </c>
      <c r="I13" s="492">
        <v>0</v>
      </c>
      <c r="J13" s="492">
        <v>0</v>
      </c>
      <c r="K13" s="785">
        <f t="shared" si="2"/>
        <v>356</v>
      </c>
      <c r="L13" s="500">
        <v>0</v>
      </c>
      <c r="M13" s="500">
        <v>0</v>
      </c>
      <c r="N13" s="500">
        <v>0</v>
      </c>
      <c r="O13" s="500">
        <v>0</v>
      </c>
      <c r="P13" s="492">
        <f t="shared" si="3"/>
        <v>0</v>
      </c>
      <c r="Q13" s="786"/>
      <c r="R13" s="784"/>
      <c r="S13" s="784"/>
      <c r="T13" s="784"/>
      <c r="U13" s="784"/>
      <c r="V13" s="784"/>
      <c r="W13" s="784"/>
      <c r="X13" s="787"/>
      <c r="Y13" s="789"/>
    </row>
    <row r="14" spans="1:25" s="490" customFormat="1" ht="13.5" customHeight="1" x14ac:dyDescent="0.25">
      <c r="A14" s="783">
        <v>6</v>
      </c>
      <c r="B14" s="790" t="s">
        <v>135</v>
      </c>
      <c r="C14" s="498" t="s">
        <v>136</v>
      </c>
      <c r="D14" s="784">
        <v>987</v>
      </c>
      <c r="E14" s="784">
        <v>23</v>
      </c>
      <c r="F14" s="499">
        <v>126</v>
      </c>
      <c r="G14" s="499">
        <f t="shared" si="4"/>
        <v>122</v>
      </c>
      <c r="H14" s="492">
        <v>117</v>
      </c>
      <c r="I14" s="492">
        <v>5</v>
      </c>
      <c r="J14" s="492">
        <v>0</v>
      </c>
      <c r="K14" s="785">
        <f t="shared" si="2"/>
        <v>1258</v>
      </c>
      <c r="L14" s="500">
        <v>0</v>
      </c>
      <c r="M14" s="500">
        <v>0</v>
      </c>
      <c r="N14" s="500">
        <v>0</v>
      </c>
      <c r="O14" s="500">
        <v>0</v>
      </c>
      <c r="P14" s="492">
        <f t="shared" si="3"/>
        <v>0</v>
      </c>
      <c r="Q14" s="786"/>
      <c r="R14" s="784"/>
      <c r="S14" s="784"/>
      <c r="T14" s="784"/>
      <c r="U14" s="784"/>
      <c r="V14" s="784"/>
      <c r="W14" s="784"/>
      <c r="X14" s="787"/>
      <c r="Y14" s="789"/>
    </row>
    <row r="15" spans="1:25" s="490" customFormat="1" ht="13.5" customHeight="1" x14ac:dyDescent="0.25">
      <c r="A15" s="783">
        <v>7</v>
      </c>
      <c r="B15" s="790" t="s">
        <v>78</v>
      </c>
      <c r="C15" s="498" t="s">
        <v>79</v>
      </c>
      <c r="D15" s="784">
        <v>504</v>
      </c>
      <c r="E15" s="784"/>
      <c r="F15" s="499">
        <v>64</v>
      </c>
      <c r="G15" s="499">
        <f t="shared" si="4"/>
        <v>0</v>
      </c>
      <c r="H15" s="492">
        <v>0</v>
      </c>
      <c r="I15" s="492">
        <v>0</v>
      </c>
      <c r="J15" s="492">
        <v>0</v>
      </c>
      <c r="K15" s="785">
        <f t="shared" si="2"/>
        <v>568</v>
      </c>
      <c r="L15" s="500">
        <v>0</v>
      </c>
      <c r="M15" s="500">
        <v>0</v>
      </c>
      <c r="N15" s="500">
        <v>0</v>
      </c>
      <c r="O15" s="500">
        <v>0</v>
      </c>
      <c r="P15" s="492">
        <f t="shared" si="3"/>
        <v>0</v>
      </c>
      <c r="Q15" s="786"/>
      <c r="R15" s="784"/>
      <c r="S15" s="784"/>
      <c r="T15" s="784"/>
      <c r="U15" s="784"/>
      <c r="V15" s="784"/>
      <c r="W15" s="784"/>
      <c r="X15" s="787"/>
      <c r="Y15" s="789"/>
    </row>
    <row r="16" spans="1:25" s="490" customFormat="1" ht="13.5" customHeight="1" x14ac:dyDescent="0.25">
      <c r="A16" s="783">
        <v>8</v>
      </c>
      <c r="B16" s="790" t="s">
        <v>111</v>
      </c>
      <c r="C16" s="498" t="s">
        <v>112</v>
      </c>
      <c r="D16" s="784">
        <v>370</v>
      </c>
      <c r="E16" s="784"/>
      <c r="F16" s="499">
        <v>47</v>
      </c>
      <c r="G16" s="499">
        <f t="shared" si="4"/>
        <v>0</v>
      </c>
      <c r="H16" s="492">
        <v>0</v>
      </c>
      <c r="I16" s="492">
        <v>0</v>
      </c>
      <c r="J16" s="492">
        <v>0</v>
      </c>
      <c r="K16" s="785">
        <f t="shared" si="2"/>
        <v>417</v>
      </c>
      <c r="L16" s="500">
        <v>0</v>
      </c>
      <c r="M16" s="500">
        <v>0</v>
      </c>
      <c r="N16" s="500">
        <v>0</v>
      </c>
      <c r="O16" s="500">
        <v>0</v>
      </c>
      <c r="P16" s="492">
        <f t="shared" si="3"/>
        <v>0</v>
      </c>
      <c r="Q16" s="786"/>
      <c r="R16" s="784"/>
      <c r="S16" s="784"/>
      <c r="T16" s="784"/>
      <c r="U16" s="784"/>
      <c r="V16" s="784"/>
      <c r="W16" s="784"/>
      <c r="X16" s="787"/>
      <c r="Y16" s="789"/>
    </row>
    <row r="17" spans="1:25" s="490" customFormat="1" ht="13.5" customHeight="1" x14ac:dyDescent="0.25">
      <c r="A17" s="783">
        <v>9</v>
      </c>
      <c r="B17" s="790" t="s">
        <v>173</v>
      </c>
      <c r="C17" s="498" t="s">
        <v>174</v>
      </c>
      <c r="D17" s="784">
        <v>1673</v>
      </c>
      <c r="E17" s="784">
        <v>45</v>
      </c>
      <c r="F17" s="499">
        <v>213</v>
      </c>
      <c r="G17" s="499">
        <f t="shared" si="4"/>
        <v>0</v>
      </c>
      <c r="H17" s="492">
        <v>0</v>
      </c>
      <c r="I17" s="492">
        <v>0</v>
      </c>
      <c r="J17" s="492">
        <v>0</v>
      </c>
      <c r="K17" s="785">
        <f t="shared" si="2"/>
        <v>1931</v>
      </c>
      <c r="L17" s="500">
        <v>25</v>
      </c>
      <c r="M17" s="500">
        <v>246</v>
      </c>
      <c r="N17" s="500">
        <v>678</v>
      </c>
      <c r="O17" s="500">
        <v>460</v>
      </c>
      <c r="P17" s="492">
        <f t="shared" si="3"/>
        <v>1409</v>
      </c>
      <c r="Q17" s="786"/>
      <c r="R17" s="784"/>
      <c r="S17" s="784"/>
      <c r="T17" s="784"/>
      <c r="U17" s="784"/>
      <c r="V17" s="784"/>
      <c r="W17" s="784"/>
      <c r="X17" s="787"/>
      <c r="Y17" s="789"/>
    </row>
    <row r="18" spans="1:25" s="490" customFormat="1" ht="13.5" customHeight="1" x14ac:dyDescent="0.25">
      <c r="A18" s="783">
        <v>10</v>
      </c>
      <c r="B18" s="790" t="s">
        <v>40</v>
      </c>
      <c r="C18" s="498" t="s">
        <v>41</v>
      </c>
      <c r="D18" s="784">
        <v>331</v>
      </c>
      <c r="E18" s="784"/>
      <c r="F18" s="499">
        <v>42</v>
      </c>
      <c r="G18" s="499">
        <f t="shared" si="4"/>
        <v>0</v>
      </c>
      <c r="H18" s="492">
        <v>0</v>
      </c>
      <c r="I18" s="492">
        <v>0</v>
      </c>
      <c r="J18" s="492">
        <v>0</v>
      </c>
      <c r="K18" s="785">
        <f t="shared" si="2"/>
        <v>373</v>
      </c>
      <c r="L18" s="500">
        <v>0</v>
      </c>
      <c r="M18" s="500">
        <v>0</v>
      </c>
      <c r="N18" s="500">
        <v>0</v>
      </c>
      <c r="O18" s="500">
        <v>0</v>
      </c>
      <c r="P18" s="492">
        <f t="shared" si="3"/>
        <v>0</v>
      </c>
      <c r="Q18" s="786"/>
      <c r="R18" s="784"/>
      <c r="S18" s="784"/>
      <c r="T18" s="784"/>
      <c r="U18" s="784"/>
      <c r="V18" s="784"/>
      <c r="W18" s="784"/>
      <c r="X18" s="787"/>
      <c r="Y18" s="789"/>
    </row>
    <row r="19" spans="1:25" s="490" customFormat="1" ht="13.5" customHeight="1" x14ac:dyDescent="0.25">
      <c r="A19" s="783">
        <v>11</v>
      </c>
      <c r="B19" s="790" t="s">
        <v>30</v>
      </c>
      <c r="C19" s="498" t="s">
        <v>31</v>
      </c>
      <c r="D19" s="784">
        <v>1903</v>
      </c>
      <c r="E19" s="784">
        <v>67</v>
      </c>
      <c r="F19" s="499">
        <v>282</v>
      </c>
      <c r="G19" s="499">
        <f t="shared" si="4"/>
        <v>376</v>
      </c>
      <c r="H19" s="492">
        <v>302</v>
      </c>
      <c r="I19" s="492">
        <v>40</v>
      </c>
      <c r="J19" s="492">
        <v>34</v>
      </c>
      <c r="K19" s="785">
        <f t="shared" si="2"/>
        <v>2628</v>
      </c>
      <c r="L19" s="500">
        <v>24</v>
      </c>
      <c r="M19" s="500">
        <v>353</v>
      </c>
      <c r="N19" s="500">
        <v>1769</v>
      </c>
      <c r="O19" s="500">
        <v>1198</v>
      </c>
      <c r="P19" s="492">
        <f t="shared" si="3"/>
        <v>3344</v>
      </c>
      <c r="Q19" s="786"/>
      <c r="R19" s="784"/>
      <c r="S19" s="784"/>
      <c r="T19" s="784"/>
      <c r="U19" s="784"/>
      <c r="V19" s="784"/>
      <c r="W19" s="784"/>
      <c r="X19" s="787"/>
      <c r="Y19" s="789"/>
    </row>
    <row r="20" spans="1:25" s="490" customFormat="1" ht="13.5" customHeight="1" x14ac:dyDescent="0.25">
      <c r="A20" s="783">
        <v>12</v>
      </c>
      <c r="B20" s="790" t="s">
        <v>175</v>
      </c>
      <c r="C20" s="498" t="s">
        <v>176</v>
      </c>
      <c r="D20" s="784">
        <v>377</v>
      </c>
      <c r="E20" s="784"/>
      <c r="F20" s="499">
        <v>48</v>
      </c>
      <c r="G20" s="499">
        <f t="shared" si="4"/>
        <v>0</v>
      </c>
      <c r="H20" s="492">
        <v>0</v>
      </c>
      <c r="I20" s="492">
        <v>0</v>
      </c>
      <c r="J20" s="492">
        <v>0</v>
      </c>
      <c r="K20" s="785">
        <f t="shared" si="2"/>
        <v>425</v>
      </c>
      <c r="L20" s="500">
        <v>0</v>
      </c>
      <c r="M20" s="500">
        <v>0</v>
      </c>
      <c r="N20" s="500">
        <v>0</v>
      </c>
      <c r="O20" s="500">
        <v>0</v>
      </c>
      <c r="P20" s="492">
        <f t="shared" si="3"/>
        <v>0</v>
      </c>
      <c r="Q20" s="786"/>
      <c r="R20" s="784"/>
      <c r="S20" s="784"/>
      <c r="T20" s="784"/>
      <c r="U20" s="784"/>
      <c r="V20" s="784"/>
      <c r="W20" s="784"/>
      <c r="X20" s="787"/>
      <c r="Y20" s="789"/>
    </row>
    <row r="21" spans="1:25" s="490" customFormat="1" ht="13.5" customHeight="1" x14ac:dyDescent="0.25">
      <c r="A21" s="783">
        <v>13</v>
      </c>
      <c r="B21" s="791" t="s">
        <v>80</v>
      </c>
      <c r="C21" s="498" t="s">
        <v>81</v>
      </c>
      <c r="D21" s="784">
        <v>1085</v>
      </c>
      <c r="E21" s="784">
        <v>52</v>
      </c>
      <c r="F21" s="499">
        <v>183</v>
      </c>
      <c r="G21" s="499">
        <f t="shared" si="4"/>
        <v>0</v>
      </c>
      <c r="H21" s="492">
        <v>0</v>
      </c>
      <c r="I21" s="492">
        <v>0</v>
      </c>
      <c r="J21" s="492">
        <v>0</v>
      </c>
      <c r="K21" s="785">
        <f t="shared" si="2"/>
        <v>1320</v>
      </c>
      <c r="L21" s="500">
        <v>28</v>
      </c>
      <c r="M21" s="500">
        <v>198</v>
      </c>
      <c r="N21" s="500">
        <v>568</v>
      </c>
      <c r="O21" s="500">
        <v>385</v>
      </c>
      <c r="P21" s="492">
        <f t="shared" si="3"/>
        <v>1179</v>
      </c>
      <c r="Q21" s="786"/>
      <c r="R21" s="784"/>
      <c r="S21" s="784"/>
      <c r="T21" s="784"/>
      <c r="U21" s="784"/>
      <c r="V21" s="784"/>
      <c r="W21" s="784"/>
      <c r="X21" s="787"/>
      <c r="Y21" s="789"/>
    </row>
    <row r="22" spans="1:25" s="490" customFormat="1" ht="13.5" customHeight="1" x14ac:dyDescent="0.25">
      <c r="A22" s="783">
        <v>14</v>
      </c>
      <c r="B22" s="790" t="s">
        <v>238</v>
      </c>
      <c r="C22" s="498" t="s">
        <v>239</v>
      </c>
      <c r="D22" s="784">
        <v>918</v>
      </c>
      <c r="E22" s="784"/>
      <c r="F22" s="499">
        <v>117</v>
      </c>
      <c r="G22" s="499">
        <f t="shared" si="4"/>
        <v>0</v>
      </c>
      <c r="H22" s="492">
        <v>0</v>
      </c>
      <c r="I22" s="492">
        <v>0</v>
      </c>
      <c r="J22" s="492">
        <v>0</v>
      </c>
      <c r="K22" s="785">
        <f t="shared" si="2"/>
        <v>1035</v>
      </c>
      <c r="L22" s="500">
        <v>0</v>
      </c>
      <c r="M22" s="500">
        <v>0</v>
      </c>
      <c r="N22" s="500">
        <v>0</v>
      </c>
      <c r="O22" s="500">
        <v>0</v>
      </c>
      <c r="P22" s="492">
        <f t="shared" si="3"/>
        <v>0</v>
      </c>
      <c r="Q22" s="786"/>
      <c r="R22" s="784"/>
      <c r="S22" s="784"/>
      <c r="T22" s="784"/>
      <c r="U22" s="784"/>
      <c r="V22" s="784"/>
      <c r="W22" s="784"/>
      <c r="X22" s="787"/>
      <c r="Y22" s="789"/>
    </row>
    <row r="23" spans="1:25" s="490" customFormat="1" ht="13.5" customHeight="1" x14ac:dyDescent="0.25">
      <c r="A23" s="783">
        <v>15</v>
      </c>
      <c r="B23" s="790" t="s">
        <v>240</v>
      </c>
      <c r="C23" s="498" t="s">
        <v>241</v>
      </c>
      <c r="D23" s="784">
        <v>399</v>
      </c>
      <c r="E23" s="784">
        <v>9</v>
      </c>
      <c r="F23" s="499">
        <v>51</v>
      </c>
      <c r="G23" s="499">
        <f t="shared" si="4"/>
        <v>0</v>
      </c>
      <c r="H23" s="492">
        <v>0</v>
      </c>
      <c r="I23" s="492">
        <v>0</v>
      </c>
      <c r="J23" s="492">
        <v>0</v>
      </c>
      <c r="K23" s="785">
        <f t="shared" si="2"/>
        <v>459</v>
      </c>
      <c r="L23" s="500">
        <v>0</v>
      </c>
      <c r="M23" s="500">
        <v>0</v>
      </c>
      <c r="N23" s="500">
        <v>0</v>
      </c>
      <c r="O23" s="500">
        <v>0</v>
      </c>
      <c r="P23" s="492">
        <f t="shared" si="3"/>
        <v>0</v>
      </c>
      <c r="Q23" s="786"/>
      <c r="R23" s="784"/>
      <c r="S23" s="784"/>
      <c r="T23" s="784"/>
      <c r="U23" s="784"/>
      <c r="V23" s="784"/>
      <c r="W23" s="784"/>
      <c r="X23" s="787"/>
      <c r="Y23" s="789"/>
    </row>
    <row r="24" spans="1:25" s="490" customFormat="1" ht="13.5" customHeight="1" x14ac:dyDescent="0.25">
      <c r="A24" s="783">
        <v>16</v>
      </c>
      <c r="B24" s="790" t="s">
        <v>88</v>
      </c>
      <c r="C24" s="498" t="s">
        <v>89</v>
      </c>
      <c r="D24" s="784">
        <v>511</v>
      </c>
      <c r="E24" s="784">
        <v>12</v>
      </c>
      <c r="F24" s="499">
        <v>65</v>
      </c>
      <c r="G24" s="499">
        <f t="shared" si="4"/>
        <v>0</v>
      </c>
      <c r="H24" s="492">
        <v>0</v>
      </c>
      <c r="I24" s="492">
        <v>0</v>
      </c>
      <c r="J24" s="492">
        <v>0</v>
      </c>
      <c r="K24" s="785">
        <f t="shared" si="2"/>
        <v>588</v>
      </c>
      <c r="L24" s="500">
        <v>0</v>
      </c>
      <c r="M24" s="500">
        <v>0</v>
      </c>
      <c r="N24" s="500">
        <v>0</v>
      </c>
      <c r="O24" s="500">
        <v>0</v>
      </c>
      <c r="P24" s="492">
        <f t="shared" si="3"/>
        <v>0</v>
      </c>
      <c r="Q24" s="786"/>
      <c r="R24" s="784"/>
      <c r="S24" s="784"/>
      <c r="T24" s="784"/>
      <c r="U24" s="784"/>
      <c r="V24" s="784"/>
      <c r="W24" s="784"/>
      <c r="X24" s="787"/>
      <c r="Y24" s="789"/>
    </row>
    <row r="25" spans="1:25" s="490" customFormat="1" ht="13.5" customHeight="1" x14ac:dyDescent="0.25">
      <c r="A25" s="783">
        <v>17</v>
      </c>
      <c r="B25" s="790" t="s">
        <v>113</v>
      </c>
      <c r="C25" s="498" t="s">
        <v>114</v>
      </c>
      <c r="D25" s="784">
        <v>412</v>
      </c>
      <c r="E25" s="784"/>
      <c r="F25" s="499">
        <v>0</v>
      </c>
      <c r="G25" s="499">
        <f t="shared" si="4"/>
        <v>0</v>
      </c>
      <c r="H25" s="492">
        <v>0</v>
      </c>
      <c r="I25" s="492">
        <v>0</v>
      </c>
      <c r="J25" s="492">
        <v>0</v>
      </c>
      <c r="K25" s="785">
        <f t="shared" si="2"/>
        <v>412</v>
      </c>
      <c r="L25" s="500">
        <v>0</v>
      </c>
      <c r="M25" s="500">
        <v>0</v>
      </c>
      <c r="N25" s="500">
        <v>0</v>
      </c>
      <c r="O25" s="500">
        <v>0</v>
      </c>
      <c r="P25" s="492">
        <f t="shared" si="3"/>
        <v>0</v>
      </c>
      <c r="Q25" s="786"/>
      <c r="R25" s="784"/>
      <c r="S25" s="784"/>
      <c r="T25" s="784"/>
      <c r="U25" s="784"/>
      <c r="V25" s="784"/>
      <c r="W25" s="784"/>
      <c r="X25" s="787"/>
      <c r="Y25" s="789"/>
    </row>
    <row r="26" spans="1:25" s="490" customFormat="1" ht="13.5" customHeight="1" x14ac:dyDescent="0.25">
      <c r="A26" s="783">
        <v>18</v>
      </c>
      <c r="B26" s="790" t="s">
        <v>137</v>
      </c>
      <c r="C26" s="498" t="s">
        <v>138</v>
      </c>
      <c r="D26" s="784">
        <v>304</v>
      </c>
      <c r="E26" s="784"/>
      <c r="F26" s="499">
        <v>0</v>
      </c>
      <c r="G26" s="499">
        <f t="shared" si="4"/>
        <v>0</v>
      </c>
      <c r="H26" s="492">
        <v>0</v>
      </c>
      <c r="I26" s="492">
        <v>0</v>
      </c>
      <c r="J26" s="492">
        <v>0</v>
      </c>
      <c r="K26" s="785">
        <f t="shared" si="2"/>
        <v>304</v>
      </c>
      <c r="L26" s="500">
        <v>0</v>
      </c>
      <c r="M26" s="500">
        <v>0</v>
      </c>
      <c r="N26" s="500">
        <v>0</v>
      </c>
      <c r="O26" s="500">
        <v>0</v>
      </c>
      <c r="P26" s="492">
        <f t="shared" si="3"/>
        <v>0</v>
      </c>
      <c r="Q26" s="786"/>
      <c r="R26" s="784"/>
      <c r="S26" s="784"/>
      <c r="T26" s="784"/>
      <c r="U26" s="784"/>
      <c r="V26" s="784"/>
      <c r="W26" s="784"/>
      <c r="X26" s="787"/>
      <c r="Y26" s="789"/>
    </row>
    <row r="27" spans="1:25" s="490" customFormat="1" ht="23.25" customHeight="1" x14ac:dyDescent="0.25">
      <c r="A27" s="783">
        <v>19</v>
      </c>
      <c r="B27" s="790" t="s">
        <v>115</v>
      </c>
      <c r="C27" s="498" t="s">
        <v>116</v>
      </c>
      <c r="D27" s="784">
        <v>433</v>
      </c>
      <c r="E27" s="784">
        <v>10</v>
      </c>
      <c r="F27" s="499">
        <v>55</v>
      </c>
      <c r="G27" s="499">
        <f t="shared" si="4"/>
        <v>0</v>
      </c>
      <c r="H27" s="492">
        <v>0</v>
      </c>
      <c r="I27" s="492">
        <v>0</v>
      </c>
      <c r="J27" s="492">
        <v>0</v>
      </c>
      <c r="K27" s="785">
        <f t="shared" si="2"/>
        <v>498</v>
      </c>
      <c r="L27" s="500">
        <v>0</v>
      </c>
      <c r="M27" s="500">
        <v>0</v>
      </c>
      <c r="N27" s="500">
        <v>0</v>
      </c>
      <c r="O27" s="500">
        <v>0</v>
      </c>
      <c r="P27" s="492">
        <f t="shared" si="3"/>
        <v>0</v>
      </c>
      <c r="Q27" s="786"/>
      <c r="R27" s="784"/>
      <c r="S27" s="784"/>
      <c r="T27" s="784"/>
      <c r="U27" s="784"/>
      <c r="V27" s="784"/>
      <c r="W27" s="784"/>
      <c r="X27" s="787"/>
      <c r="Y27" s="789"/>
    </row>
    <row r="28" spans="1:25" s="490" customFormat="1" ht="13.5" customHeight="1" x14ac:dyDescent="0.25">
      <c r="A28" s="783">
        <v>20</v>
      </c>
      <c r="B28" s="790" t="s">
        <v>42</v>
      </c>
      <c r="C28" s="498" t="s">
        <v>43</v>
      </c>
      <c r="D28" s="784">
        <v>600</v>
      </c>
      <c r="E28" s="784"/>
      <c r="F28" s="499">
        <v>77</v>
      </c>
      <c r="G28" s="499">
        <f t="shared" si="4"/>
        <v>314</v>
      </c>
      <c r="H28" s="492">
        <v>289</v>
      </c>
      <c r="I28" s="492">
        <v>5</v>
      </c>
      <c r="J28" s="492">
        <v>20</v>
      </c>
      <c r="K28" s="785">
        <f t="shared" si="2"/>
        <v>991</v>
      </c>
      <c r="L28" s="500">
        <v>0</v>
      </c>
      <c r="M28" s="500">
        <v>0</v>
      </c>
      <c r="N28" s="500">
        <v>0</v>
      </c>
      <c r="O28" s="500">
        <v>0</v>
      </c>
      <c r="P28" s="492">
        <f t="shared" si="3"/>
        <v>0</v>
      </c>
      <c r="Q28" s="786"/>
      <c r="R28" s="784"/>
      <c r="S28" s="784"/>
      <c r="T28" s="784"/>
      <c r="U28" s="784"/>
      <c r="V28" s="784"/>
      <c r="W28" s="784"/>
      <c r="X28" s="787"/>
      <c r="Y28" s="789"/>
    </row>
    <row r="29" spans="1:25" s="490" customFormat="1" ht="13.5" customHeight="1" x14ac:dyDescent="0.25">
      <c r="A29" s="783">
        <v>21</v>
      </c>
      <c r="B29" s="790" t="s">
        <v>171</v>
      </c>
      <c r="C29" s="498" t="s">
        <v>172</v>
      </c>
      <c r="D29" s="784">
        <v>2061</v>
      </c>
      <c r="E29" s="784">
        <v>60</v>
      </c>
      <c r="F29" s="499">
        <v>263</v>
      </c>
      <c r="G29" s="499">
        <f t="shared" si="4"/>
        <v>1082</v>
      </c>
      <c r="H29" s="492">
        <v>922</v>
      </c>
      <c r="I29" s="492">
        <v>60</v>
      </c>
      <c r="J29" s="492">
        <v>100</v>
      </c>
      <c r="K29" s="785">
        <f t="shared" si="2"/>
        <v>3466</v>
      </c>
      <c r="L29" s="500">
        <v>26</v>
      </c>
      <c r="M29" s="500">
        <v>199</v>
      </c>
      <c r="N29" s="500">
        <v>610</v>
      </c>
      <c r="O29" s="500">
        <v>413</v>
      </c>
      <c r="P29" s="492">
        <f t="shared" si="3"/>
        <v>1248</v>
      </c>
      <c r="Q29" s="786"/>
      <c r="R29" s="784"/>
      <c r="S29" s="784"/>
      <c r="T29" s="784"/>
      <c r="U29" s="784"/>
      <c r="V29" s="784"/>
      <c r="W29" s="784"/>
      <c r="X29" s="787"/>
      <c r="Y29" s="789"/>
    </row>
    <row r="30" spans="1:25" s="490" customFormat="1" ht="13.5" customHeight="1" x14ac:dyDescent="0.25">
      <c r="A30" s="783">
        <v>22</v>
      </c>
      <c r="B30" s="790" t="s">
        <v>44</v>
      </c>
      <c r="C30" s="498" t="s">
        <v>221</v>
      </c>
      <c r="D30" s="784">
        <v>1378</v>
      </c>
      <c r="E30" s="784">
        <v>32</v>
      </c>
      <c r="F30" s="499">
        <v>176</v>
      </c>
      <c r="G30" s="499">
        <f t="shared" si="4"/>
        <v>0</v>
      </c>
      <c r="H30" s="492">
        <v>0</v>
      </c>
      <c r="I30" s="492">
        <v>0</v>
      </c>
      <c r="J30" s="492">
        <v>0</v>
      </c>
      <c r="K30" s="785">
        <f t="shared" si="2"/>
        <v>1586</v>
      </c>
      <c r="L30" s="500">
        <v>0</v>
      </c>
      <c r="M30" s="500">
        <v>0</v>
      </c>
      <c r="N30" s="500">
        <v>0</v>
      </c>
      <c r="O30" s="500">
        <v>0</v>
      </c>
      <c r="P30" s="492">
        <f t="shared" si="3"/>
        <v>0</v>
      </c>
      <c r="Q30" s="786"/>
      <c r="R30" s="784"/>
      <c r="S30" s="784"/>
      <c r="T30" s="784"/>
      <c r="U30" s="784"/>
      <c r="V30" s="784"/>
      <c r="W30" s="784"/>
      <c r="X30" s="787"/>
      <c r="Y30" s="789"/>
    </row>
    <row r="31" spans="1:25" s="490" customFormat="1" ht="13.5" customHeight="1" x14ac:dyDescent="0.25">
      <c r="A31" s="783">
        <v>23</v>
      </c>
      <c r="B31" s="790" t="s">
        <v>157</v>
      </c>
      <c r="C31" s="498" t="s">
        <v>158</v>
      </c>
      <c r="D31" s="784">
        <v>1600</v>
      </c>
      <c r="E31" s="784">
        <v>44</v>
      </c>
      <c r="F31" s="499">
        <v>210</v>
      </c>
      <c r="G31" s="499">
        <f t="shared" si="4"/>
        <v>526</v>
      </c>
      <c r="H31" s="492">
        <v>491</v>
      </c>
      <c r="I31" s="492">
        <v>0</v>
      </c>
      <c r="J31" s="492">
        <v>35</v>
      </c>
      <c r="K31" s="785">
        <f t="shared" si="2"/>
        <v>2380</v>
      </c>
      <c r="L31" s="500">
        <v>6</v>
      </c>
      <c r="M31" s="500">
        <v>83</v>
      </c>
      <c r="N31" s="500">
        <v>1199</v>
      </c>
      <c r="O31" s="500">
        <v>812</v>
      </c>
      <c r="P31" s="492">
        <f t="shared" si="3"/>
        <v>2100</v>
      </c>
      <c r="Q31" s="786"/>
      <c r="R31" s="784"/>
      <c r="S31" s="784"/>
      <c r="T31" s="784"/>
      <c r="U31" s="784"/>
      <c r="V31" s="784"/>
      <c r="W31" s="784"/>
      <c r="X31" s="787"/>
      <c r="Y31" s="789"/>
    </row>
    <row r="32" spans="1:25" s="490" customFormat="1" ht="13.5" customHeight="1" x14ac:dyDescent="0.25">
      <c r="A32" s="783">
        <v>24</v>
      </c>
      <c r="B32" s="790" t="s">
        <v>117</v>
      </c>
      <c r="C32" s="498" t="s">
        <v>118</v>
      </c>
      <c r="D32" s="784">
        <v>3012</v>
      </c>
      <c r="E32" s="784">
        <v>70</v>
      </c>
      <c r="F32" s="499">
        <v>384</v>
      </c>
      <c r="G32" s="499">
        <f t="shared" si="4"/>
        <v>598</v>
      </c>
      <c r="H32" s="492">
        <v>450</v>
      </c>
      <c r="I32" s="492">
        <v>58</v>
      </c>
      <c r="J32" s="492">
        <v>90</v>
      </c>
      <c r="K32" s="785">
        <f t="shared" si="2"/>
        <v>4064</v>
      </c>
      <c r="L32" s="500">
        <v>66</v>
      </c>
      <c r="M32" s="500">
        <v>516</v>
      </c>
      <c r="N32" s="500">
        <v>1580</v>
      </c>
      <c r="O32" s="500">
        <v>1070</v>
      </c>
      <c r="P32" s="492">
        <f t="shared" si="3"/>
        <v>3232</v>
      </c>
      <c r="Q32" s="786"/>
      <c r="R32" s="784"/>
      <c r="S32" s="784"/>
      <c r="T32" s="784"/>
      <c r="U32" s="784"/>
      <c r="V32" s="784"/>
      <c r="W32" s="784"/>
      <c r="X32" s="787"/>
      <c r="Y32" s="789"/>
    </row>
    <row r="33" spans="1:25" s="490" customFormat="1" ht="13.5" customHeight="1" x14ac:dyDescent="0.25">
      <c r="A33" s="783">
        <v>25</v>
      </c>
      <c r="B33" s="790" t="s">
        <v>46</v>
      </c>
      <c r="C33" s="498" t="s">
        <v>47</v>
      </c>
      <c r="D33" s="784">
        <v>2402</v>
      </c>
      <c r="E33" s="784">
        <v>56</v>
      </c>
      <c r="F33" s="499">
        <v>306</v>
      </c>
      <c r="G33" s="499">
        <f t="shared" si="4"/>
        <v>642</v>
      </c>
      <c r="H33" s="492">
        <v>537</v>
      </c>
      <c r="I33" s="492">
        <v>45</v>
      </c>
      <c r="J33" s="492">
        <v>60</v>
      </c>
      <c r="K33" s="785">
        <f t="shared" si="2"/>
        <v>3406</v>
      </c>
      <c r="L33" s="500">
        <v>39</v>
      </c>
      <c r="M33" s="500">
        <v>409</v>
      </c>
      <c r="N33" s="500">
        <v>689</v>
      </c>
      <c r="O33" s="500">
        <v>466</v>
      </c>
      <c r="P33" s="492">
        <f t="shared" si="3"/>
        <v>1603</v>
      </c>
      <c r="Q33" s="786"/>
      <c r="R33" s="784"/>
      <c r="S33" s="784"/>
      <c r="T33" s="784"/>
      <c r="U33" s="784"/>
      <c r="V33" s="784"/>
      <c r="W33" s="784"/>
      <c r="X33" s="787"/>
      <c r="Y33" s="789"/>
    </row>
    <row r="34" spans="1:25" s="490" customFormat="1" ht="13.5" customHeight="1" x14ac:dyDescent="0.25">
      <c r="A34" s="783">
        <v>26</v>
      </c>
      <c r="B34" s="790" t="s">
        <v>36</v>
      </c>
      <c r="C34" s="498" t="s">
        <v>37</v>
      </c>
      <c r="D34" s="784">
        <v>277</v>
      </c>
      <c r="E34" s="784"/>
      <c r="F34" s="499">
        <v>0</v>
      </c>
      <c r="G34" s="499">
        <f t="shared" si="4"/>
        <v>0</v>
      </c>
      <c r="H34" s="492">
        <v>0</v>
      </c>
      <c r="I34" s="492">
        <v>0</v>
      </c>
      <c r="J34" s="492">
        <v>0</v>
      </c>
      <c r="K34" s="785">
        <f t="shared" si="2"/>
        <v>277</v>
      </c>
      <c r="L34" s="500">
        <v>0</v>
      </c>
      <c r="M34" s="500">
        <v>0</v>
      </c>
      <c r="N34" s="500">
        <v>0</v>
      </c>
      <c r="O34" s="500">
        <v>0</v>
      </c>
      <c r="P34" s="492">
        <f t="shared" si="3"/>
        <v>0</v>
      </c>
      <c r="Q34" s="786"/>
      <c r="R34" s="784"/>
      <c r="S34" s="784"/>
      <c r="T34" s="784"/>
      <c r="U34" s="784"/>
      <c r="V34" s="784"/>
      <c r="W34" s="784"/>
      <c r="X34" s="787"/>
      <c r="Y34" s="789"/>
    </row>
    <row r="35" spans="1:25" s="490" customFormat="1" ht="13.5" customHeight="1" x14ac:dyDescent="0.25">
      <c r="A35" s="783">
        <v>27</v>
      </c>
      <c r="B35" s="790" t="s">
        <v>149</v>
      </c>
      <c r="C35" s="501" t="s">
        <v>150</v>
      </c>
      <c r="D35" s="784">
        <v>5967</v>
      </c>
      <c r="E35" s="784">
        <v>61</v>
      </c>
      <c r="F35" s="499">
        <v>792</v>
      </c>
      <c r="G35" s="499">
        <f t="shared" si="4"/>
        <v>1220</v>
      </c>
      <c r="H35" s="492">
        <v>1015</v>
      </c>
      <c r="I35" s="492">
        <v>10</v>
      </c>
      <c r="J35" s="492">
        <v>195</v>
      </c>
      <c r="K35" s="785">
        <f t="shared" si="2"/>
        <v>8040</v>
      </c>
      <c r="L35" s="500">
        <v>228</v>
      </c>
      <c r="M35" s="500">
        <v>1017</v>
      </c>
      <c r="N35" s="500">
        <v>1751</v>
      </c>
      <c r="O35" s="500">
        <v>1185</v>
      </c>
      <c r="P35" s="492">
        <f t="shared" si="3"/>
        <v>4181</v>
      </c>
      <c r="Q35" s="786"/>
      <c r="R35" s="784"/>
      <c r="S35" s="784"/>
      <c r="T35" s="784"/>
      <c r="U35" s="784"/>
      <c r="V35" s="784"/>
      <c r="W35" s="784"/>
      <c r="X35" s="787"/>
      <c r="Y35" s="789"/>
    </row>
    <row r="36" spans="1:25" s="490" customFormat="1" ht="13.5" customHeight="1" x14ac:dyDescent="0.25">
      <c r="A36" s="783">
        <v>28</v>
      </c>
      <c r="B36" s="790" t="s">
        <v>54</v>
      </c>
      <c r="C36" s="498" t="s">
        <v>222</v>
      </c>
      <c r="D36" s="784">
        <v>3657</v>
      </c>
      <c r="E36" s="784">
        <v>110</v>
      </c>
      <c r="F36" s="499">
        <v>656</v>
      </c>
      <c r="G36" s="499">
        <f t="shared" si="4"/>
        <v>624</v>
      </c>
      <c r="H36" s="492">
        <v>432</v>
      </c>
      <c r="I36" s="492">
        <v>62</v>
      </c>
      <c r="J36" s="492">
        <v>130</v>
      </c>
      <c r="K36" s="785">
        <f t="shared" si="2"/>
        <v>5047</v>
      </c>
      <c r="L36" s="500">
        <v>480</v>
      </c>
      <c r="M36" s="500">
        <v>2009</v>
      </c>
      <c r="N36" s="500">
        <v>4528</v>
      </c>
      <c r="O36" s="500">
        <v>3068</v>
      </c>
      <c r="P36" s="492">
        <f t="shared" si="3"/>
        <v>10085</v>
      </c>
      <c r="Q36" s="786"/>
      <c r="R36" s="784"/>
      <c r="S36" s="784"/>
      <c r="T36" s="784"/>
      <c r="U36" s="784"/>
      <c r="V36" s="784"/>
      <c r="W36" s="784"/>
      <c r="X36" s="787"/>
      <c r="Y36" s="789"/>
    </row>
    <row r="37" spans="1:25" s="490" customFormat="1" ht="13.5" customHeight="1" x14ac:dyDescent="0.25">
      <c r="A37" s="783">
        <v>29</v>
      </c>
      <c r="B37" s="790" t="s">
        <v>48</v>
      </c>
      <c r="C37" s="498" t="s">
        <v>223</v>
      </c>
      <c r="D37" s="784">
        <v>2965</v>
      </c>
      <c r="E37" s="784"/>
      <c r="F37" s="499">
        <v>378</v>
      </c>
      <c r="G37" s="499">
        <f t="shared" si="4"/>
        <v>849</v>
      </c>
      <c r="H37" s="492">
        <v>729</v>
      </c>
      <c r="I37" s="492">
        <v>0</v>
      </c>
      <c r="J37" s="492">
        <v>120</v>
      </c>
      <c r="K37" s="785">
        <f t="shared" si="2"/>
        <v>4192</v>
      </c>
      <c r="L37" s="500">
        <v>0</v>
      </c>
      <c r="M37" s="500">
        <v>0</v>
      </c>
      <c r="N37" s="500">
        <v>0</v>
      </c>
      <c r="O37" s="500">
        <v>0</v>
      </c>
      <c r="P37" s="492">
        <f t="shared" si="3"/>
        <v>0</v>
      </c>
      <c r="Q37" s="786"/>
      <c r="R37" s="784"/>
      <c r="S37" s="784"/>
      <c r="T37" s="784"/>
      <c r="U37" s="784"/>
      <c r="V37" s="784"/>
      <c r="W37" s="784"/>
      <c r="X37" s="787"/>
      <c r="Y37" s="789"/>
    </row>
    <row r="38" spans="1:25" s="490" customFormat="1" ht="13.5" customHeight="1" x14ac:dyDescent="0.25">
      <c r="A38" s="783">
        <v>30</v>
      </c>
      <c r="B38" s="790" t="s">
        <v>56</v>
      </c>
      <c r="C38" s="498" t="s">
        <v>304</v>
      </c>
      <c r="D38" s="784">
        <v>1736</v>
      </c>
      <c r="E38" s="784">
        <v>89</v>
      </c>
      <c r="F38" s="499">
        <v>221</v>
      </c>
      <c r="G38" s="499">
        <f t="shared" si="4"/>
        <v>547</v>
      </c>
      <c r="H38" s="492">
        <v>375</v>
      </c>
      <c r="I38" s="492">
        <v>50</v>
      </c>
      <c r="J38" s="492">
        <v>122</v>
      </c>
      <c r="K38" s="785">
        <f t="shared" si="2"/>
        <v>2593</v>
      </c>
      <c r="L38" s="500">
        <v>114</v>
      </c>
      <c r="M38" s="500">
        <v>1085</v>
      </c>
      <c r="N38" s="500">
        <v>2864</v>
      </c>
      <c r="O38" s="500">
        <v>1150</v>
      </c>
      <c r="P38" s="492">
        <f t="shared" si="3"/>
        <v>5213</v>
      </c>
      <c r="Q38" s="786"/>
      <c r="R38" s="784"/>
      <c r="S38" s="784"/>
      <c r="T38" s="784"/>
      <c r="U38" s="784"/>
      <c r="V38" s="784"/>
      <c r="W38" s="784"/>
      <c r="X38" s="787"/>
      <c r="Y38" s="789"/>
    </row>
    <row r="39" spans="1:25" s="490" customFormat="1" ht="13.5" customHeight="1" x14ac:dyDescent="0.25">
      <c r="A39" s="783">
        <v>31</v>
      </c>
      <c r="B39" s="790" t="s">
        <v>50</v>
      </c>
      <c r="C39" s="498" t="s">
        <v>219</v>
      </c>
      <c r="D39" s="784">
        <v>1900</v>
      </c>
      <c r="E39" s="784">
        <v>88</v>
      </c>
      <c r="F39" s="499">
        <v>485</v>
      </c>
      <c r="G39" s="499">
        <f t="shared" si="4"/>
        <v>0</v>
      </c>
      <c r="H39" s="492">
        <v>0</v>
      </c>
      <c r="I39" s="492">
        <v>0</v>
      </c>
      <c r="J39" s="492">
        <v>0</v>
      </c>
      <c r="K39" s="785">
        <f t="shared" si="2"/>
        <v>2473</v>
      </c>
      <c r="L39" s="500">
        <v>0</v>
      </c>
      <c r="M39" s="500">
        <v>0</v>
      </c>
      <c r="N39" s="500">
        <v>0</v>
      </c>
      <c r="O39" s="500">
        <v>0</v>
      </c>
      <c r="P39" s="492">
        <f t="shared" si="3"/>
        <v>0</v>
      </c>
      <c r="Q39" s="786"/>
      <c r="R39" s="784"/>
      <c r="S39" s="784"/>
      <c r="T39" s="784"/>
      <c r="U39" s="784"/>
      <c r="V39" s="784"/>
      <c r="W39" s="784"/>
      <c r="X39" s="787"/>
      <c r="Y39" s="789"/>
    </row>
    <row r="40" spans="1:25" s="490" customFormat="1" ht="13.5" customHeight="1" x14ac:dyDescent="0.25">
      <c r="A40" s="783">
        <v>32</v>
      </c>
      <c r="B40" s="790" t="s">
        <v>52</v>
      </c>
      <c r="C40" s="498" t="s">
        <v>220</v>
      </c>
      <c r="D40" s="784">
        <v>2205</v>
      </c>
      <c r="E40" s="784">
        <v>51</v>
      </c>
      <c r="F40" s="499">
        <v>281</v>
      </c>
      <c r="G40" s="499">
        <f t="shared" si="4"/>
        <v>366</v>
      </c>
      <c r="H40" s="492">
        <v>336</v>
      </c>
      <c r="I40" s="492">
        <v>0</v>
      </c>
      <c r="J40" s="492">
        <v>30</v>
      </c>
      <c r="K40" s="785">
        <f t="shared" si="2"/>
        <v>2903</v>
      </c>
      <c r="L40" s="500">
        <v>0</v>
      </c>
      <c r="M40" s="500">
        <v>0</v>
      </c>
      <c r="N40" s="500">
        <v>0</v>
      </c>
      <c r="O40" s="500">
        <v>0</v>
      </c>
      <c r="P40" s="492">
        <f t="shared" si="3"/>
        <v>0</v>
      </c>
      <c r="Q40" s="786"/>
      <c r="R40" s="784"/>
      <c r="S40" s="784"/>
      <c r="T40" s="784"/>
      <c r="U40" s="784"/>
      <c r="V40" s="784"/>
      <c r="W40" s="784"/>
      <c r="X40" s="787"/>
      <c r="Y40" s="789"/>
    </row>
    <row r="41" spans="1:25" s="490" customFormat="1" ht="13.5" customHeight="1" x14ac:dyDescent="0.25">
      <c r="A41" s="783">
        <v>33</v>
      </c>
      <c r="B41" s="790" t="s">
        <v>217</v>
      </c>
      <c r="C41" s="498" t="s">
        <v>218</v>
      </c>
      <c r="D41" s="784">
        <v>1565</v>
      </c>
      <c r="E41" s="784">
        <v>36</v>
      </c>
      <c r="F41" s="499">
        <v>200</v>
      </c>
      <c r="G41" s="499">
        <f t="shared" si="4"/>
        <v>0</v>
      </c>
      <c r="H41" s="492">
        <v>0</v>
      </c>
      <c r="I41" s="492">
        <v>0</v>
      </c>
      <c r="J41" s="492">
        <v>0</v>
      </c>
      <c r="K41" s="785">
        <f t="shared" si="2"/>
        <v>1801</v>
      </c>
      <c r="L41" s="500">
        <v>0</v>
      </c>
      <c r="M41" s="500">
        <v>0</v>
      </c>
      <c r="N41" s="500">
        <v>0</v>
      </c>
      <c r="O41" s="500">
        <v>0</v>
      </c>
      <c r="P41" s="492">
        <f t="shared" si="3"/>
        <v>0</v>
      </c>
      <c r="Q41" s="786"/>
      <c r="R41" s="784"/>
      <c r="S41" s="784"/>
      <c r="T41" s="784"/>
      <c r="U41" s="784"/>
      <c r="V41" s="784"/>
      <c r="W41" s="784"/>
      <c r="X41" s="787"/>
      <c r="Y41" s="789"/>
    </row>
    <row r="42" spans="1:25" s="490" customFormat="1" ht="13.5" customHeight="1" x14ac:dyDescent="0.25">
      <c r="A42" s="783">
        <v>34</v>
      </c>
      <c r="B42" s="790" t="s">
        <v>177</v>
      </c>
      <c r="C42" s="498" t="s">
        <v>178</v>
      </c>
      <c r="D42" s="784">
        <v>703</v>
      </c>
      <c r="E42" s="784">
        <v>16</v>
      </c>
      <c r="F42" s="499">
        <v>90</v>
      </c>
      <c r="G42" s="499">
        <f t="shared" si="4"/>
        <v>0</v>
      </c>
      <c r="H42" s="492">
        <v>0</v>
      </c>
      <c r="I42" s="492">
        <v>0</v>
      </c>
      <c r="J42" s="492">
        <v>0</v>
      </c>
      <c r="K42" s="785">
        <f t="shared" si="2"/>
        <v>809</v>
      </c>
      <c r="L42" s="500">
        <v>37</v>
      </c>
      <c r="M42" s="500">
        <v>209</v>
      </c>
      <c r="N42" s="500">
        <v>373</v>
      </c>
      <c r="O42" s="500">
        <v>252</v>
      </c>
      <c r="P42" s="492">
        <f t="shared" si="3"/>
        <v>871</v>
      </c>
      <c r="Q42" s="786"/>
      <c r="R42" s="784"/>
      <c r="S42" s="784"/>
      <c r="T42" s="784"/>
      <c r="U42" s="784"/>
      <c r="V42" s="784"/>
      <c r="W42" s="784"/>
      <c r="X42" s="787"/>
      <c r="Y42" s="789"/>
    </row>
    <row r="43" spans="1:25" s="490" customFormat="1" ht="13.5" customHeight="1" x14ac:dyDescent="0.25">
      <c r="A43" s="783">
        <v>35</v>
      </c>
      <c r="B43" s="790" t="s">
        <v>151</v>
      </c>
      <c r="C43" s="498" t="s">
        <v>152</v>
      </c>
      <c r="D43" s="784">
        <v>373</v>
      </c>
      <c r="E43" s="784"/>
      <c r="F43" s="499">
        <v>0</v>
      </c>
      <c r="G43" s="499">
        <f t="shared" si="4"/>
        <v>0</v>
      </c>
      <c r="H43" s="492">
        <v>0</v>
      </c>
      <c r="I43" s="492">
        <v>0</v>
      </c>
      <c r="J43" s="492">
        <v>0</v>
      </c>
      <c r="K43" s="785">
        <f t="shared" si="2"/>
        <v>373</v>
      </c>
      <c r="L43" s="500">
        <v>0</v>
      </c>
      <c r="M43" s="500">
        <v>0</v>
      </c>
      <c r="N43" s="500">
        <v>0</v>
      </c>
      <c r="O43" s="500">
        <v>0</v>
      </c>
      <c r="P43" s="492">
        <f t="shared" si="3"/>
        <v>0</v>
      </c>
      <c r="Q43" s="786"/>
      <c r="R43" s="784"/>
      <c r="S43" s="784"/>
      <c r="T43" s="784"/>
      <c r="U43" s="784"/>
      <c r="V43" s="784"/>
      <c r="W43" s="784"/>
      <c r="X43" s="787"/>
      <c r="Y43" s="789"/>
    </row>
    <row r="44" spans="1:25" s="490" customFormat="1" ht="14.25" customHeight="1" x14ac:dyDescent="0.25">
      <c r="A44" s="783">
        <v>36</v>
      </c>
      <c r="B44" s="790" t="s">
        <v>193</v>
      </c>
      <c r="C44" s="498" t="s">
        <v>194</v>
      </c>
      <c r="D44" s="784">
        <v>375</v>
      </c>
      <c r="E44" s="784"/>
      <c r="F44" s="499">
        <v>0</v>
      </c>
      <c r="G44" s="499">
        <f t="shared" si="4"/>
        <v>0</v>
      </c>
      <c r="H44" s="492">
        <v>0</v>
      </c>
      <c r="I44" s="492">
        <v>0</v>
      </c>
      <c r="J44" s="492">
        <v>0</v>
      </c>
      <c r="K44" s="785">
        <f t="shared" si="2"/>
        <v>375</v>
      </c>
      <c r="L44" s="500">
        <v>0</v>
      </c>
      <c r="M44" s="500">
        <v>0</v>
      </c>
      <c r="N44" s="500">
        <v>0</v>
      </c>
      <c r="O44" s="500">
        <v>0</v>
      </c>
      <c r="P44" s="492">
        <f t="shared" si="3"/>
        <v>0</v>
      </c>
      <c r="Q44" s="786"/>
      <c r="R44" s="784"/>
      <c r="S44" s="784"/>
      <c r="T44" s="784"/>
      <c r="U44" s="784"/>
      <c r="V44" s="784"/>
      <c r="W44" s="784"/>
      <c r="X44" s="787"/>
      <c r="Y44" s="789"/>
    </row>
    <row r="45" spans="1:25" s="490" customFormat="1" ht="13.5" customHeight="1" x14ac:dyDescent="0.25">
      <c r="A45" s="783">
        <v>37</v>
      </c>
      <c r="B45" s="790" t="s">
        <v>22</v>
      </c>
      <c r="C45" s="498" t="s">
        <v>23</v>
      </c>
      <c r="D45" s="784">
        <v>337</v>
      </c>
      <c r="E45" s="784"/>
      <c r="F45" s="499">
        <v>0</v>
      </c>
      <c r="G45" s="499">
        <f t="shared" si="4"/>
        <v>0</v>
      </c>
      <c r="H45" s="492">
        <v>0</v>
      </c>
      <c r="I45" s="492">
        <v>0</v>
      </c>
      <c r="J45" s="492">
        <v>0</v>
      </c>
      <c r="K45" s="785">
        <f t="shared" si="2"/>
        <v>337</v>
      </c>
      <c r="L45" s="500">
        <v>0</v>
      </c>
      <c r="M45" s="500">
        <v>0</v>
      </c>
      <c r="N45" s="500">
        <v>0</v>
      </c>
      <c r="O45" s="500">
        <v>0</v>
      </c>
      <c r="P45" s="492">
        <f t="shared" si="3"/>
        <v>0</v>
      </c>
      <c r="Q45" s="786"/>
      <c r="R45" s="784"/>
      <c r="S45" s="784"/>
      <c r="T45" s="784"/>
      <c r="U45" s="784"/>
      <c r="V45" s="784"/>
      <c r="W45" s="784"/>
      <c r="X45" s="787"/>
      <c r="Y45" s="789"/>
    </row>
    <row r="46" spans="1:25" s="490" customFormat="1" ht="13.5" customHeight="1" x14ac:dyDescent="0.25">
      <c r="A46" s="783">
        <v>38</v>
      </c>
      <c r="B46" s="790" t="s">
        <v>24</v>
      </c>
      <c r="C46" s="498" t="s">
        <v>25</v>
      </c>
      <c r="D46" s="784">
        <v>265</v>
      </c>
      <c r="E46" s="784"/>
      <c r="F46" s="499">
        <v>0</v>
      </c>
      <c r="G46" s="499">
        <f t="shared" si="4"/>
        <v>0</v>
      </c>
      <c r="H46" s="492">
        <v>0</v>
      </c>
      <c r="I46" s="492">
        <v>0</v>
      </c>
      <c r="J46" s="492">
        <v>0</v>
      </c>
      <c r="K46" s="785">
        <f t="shared" si="2"/>
        <v>265</v>
      </c>
      <c r="L46" s="500">
        <v>0</v>
      </c>
      <c r="M46" s="500">
        <v>0</v>
      </c>
      <c r="N46" s="500">
        <v>0</v>
      </c>
      <c r="O46" s="500">
        <v>0</v>
      </c>
      <c r="P46" s="492">
        <f t="shared" si="3"/>
        <v>0</v>
      </c>
      <c r="Q46" s="786"/>
      <c r="R46" s="784"/>
      <c r="S46" s="784"/>
      <c r="T46" s="784"/>
      <c r="U46" s="784"/>
      <c r="V46" s="784"/>
      <c r="W46" s="784"/>
      <c r="X46" s="787"/>
      <c r="Y46" s="789"/>
    </row>
    <row r="47" spans="1:25" s="490" customFormat="1" ht="13.5" customHeight="1" x14ac:dyDescent="0.25">
      <c r="A47" s="783">
        <v>39</v>
      </c>
      <c r="B47" s="790" t="s">
        <v>26</v>
      </c>
      <c r="C47" s="498" t="s">
        <v>27</v>
      </c>
      <c r="D47" s="784">
        <v>482</v>
      </c>
      <c r="E47" s="784"/>
      <c r="F47" s="499">
        <v>0</v>
      </c>
      <c r="G47" s="499">
        <f t="shared" si="4"/>
        <v>0</v>
      </c>
      <c r="H47" s="492">
        <v>0</v>
      </c>
      <c r="I47" s="492">
        <v>0</v>
      </c>
      <c r="J47" s="492">
        <v>0</v>
      </c>
      <c r="K47" s="785">
        <f t="shared" si="2"/>
        <v>482</v>
      </c>
      <c r="L47" s="500">
        <v>0</v>
      </c>
      <c r="M47" s="500">
        <v>0</v>
      </c>
      <c r="N47" s="500">
        <v>0</v>
      </c>
      <c r="O47" s="500">
        <v>0</v>
      </c>
      <c r="P47" s="492">
        <f t="shared" si="3"/>
        <v>0</v>
      </c>
      <c r="Q47" s="786"/>
      <c r="R47" s="784"/>
      <c r="S47" s="784"/>
      <c r="T47" s="784"/>
      <c r="U47" s="784"/>
      <c r="V47" s="784"/>
      <c r="W47" s="784"/>
      <c r="X47" s="787"/>
      <c r="Y47" s="789"/>
    </row>
    <row r="48" spans="1:25" s="490" customFormat="1" ht="13.5" customHeight="1" x14ac:dyDescent="0.25">
      <c r="A48" s="783">
        <v>40</v>
      </c>
      <c r="B48" s="790" t="s">
        <v>28</v>
      </c>
      <c r="C48" s="498" t="s">
        <v>29</v>
      </c>
      <c r="D48" s="784">
        <v>292</v>
      </c>
      <c r="E48" s="784"/>
      <c r="F48" s="499">
        <v>0</v>
      </c>
      <c r="G48" s="499">
        <f t="shared" si="4"/>
        <v>0</v>
      </c>
      <c r="H48" s="492">
        <v>0</v>
      </c>
      <c r="I48" s="492">
        <v>0</v>
      </c>
      <c r="J48" s="492">
        <v>0</v>
      </c>
      <c r="K48" s="785">
        <f t="shared" si="2"/>
        <v>292</v>
      </c>
      <c r="L48" s="500">
        <v>0</v>
      </c>
      <c r="M48" s="500">
        <v>0</v>
      </c>
      <c r="N48" s="500">
        <v>0</v>
      </c>
      <c r="O48" s="500">
        <v>0</v>
      </c>
      <c r="P48" s="492">
        <f t="shared" si="3"/>
        <v>0</v>
      </c>
      <c r="Q48" s="786"/>
      <c r="R48" s="784"/>
      <c r="S48" s="784"/>
      <c r="T48" s="784"/>
      <c r="U48" s="784"/>
      <c r="V48" s="784"/>
      <c r="W48" s="784"/>
      <c r="X48" s="787"/>
      <c r="Y48" s="789"/>
    </row>
    <row r="49" spans="1:25" s="490" customFormat="1" ht="13.5" customHeight="1" x14ac:dyDescent="0.25">
      <c r="A49" s="783">
        <v>41</v>
      </c>
      <c r="B49" s="790" t="s">
        <v>20</v>
      </c>
      <c r="C49" s="498" t="s">
        <v>21</v>
      </c>
      <c r="D49" s="784">
        <v>1113</v>
      </c>
      <c r="E49" s="784">
        <v>26</v>
      </c>
      <c r="F49" s="499">
        <v>142</v>
      </c>
      <c r="G49" s="499">
        <f t="shared" si="4"/>
        <v>0</v>
      </c>
      <c r="H49" s="492">
        <v>0</v>
      </c>
      <c r="I49" s="492">
        <v>0</v>
      </c>
      <c r="J49" s="492">
        <v>0</v>
      </c>
      <c r="K49" s="785">
        <f t="shared" si="2"/>
        <v>1281</v>
      </c>
      <c r="L49" s="500">
        <v>0</v>
      </c>
      <c r="M49" s="500">
        <v>0</v>
      </c>
      <c r="N49" s="500">
        <v>0</v>
      </c>
      <c r="O49" s="500">
        <v>0</v>
      </c>
      <c r="P49" s="492">
        <f t="shared" si="3"/>
        <v>0</v>
      </c>
      <c r="Q49" s="786"/>
      <c r="R49" s="784"/>
      <c r="S49" s="784"/>
      <c r="T49" s="784"/>
      <c r="U49" s="784"/>
      <c r="V49" s="784"/>
      <c r="W49" s="784"/>
      <c r="X49" s="787"/>
      <c r="Y49" s="789"/>
    </row>
    <row r="50" spans="1:25" s="490" customFormat="1" ht="13.5" customHeight="1" x14ac:dyDescent="0.25">
      <c r="A50" s="783">
        <v>42</v>
      </c>
      <c r="B50" s="790" t="s">
        <v>179</v>
      </c>
      <c r="C50" s="498" t="s">
        <v>180</v>
      </c>
      <c r="D50" s="784">
        <v>247</v>
      </c>
      <c r="E50" s="784"/>
      <c r="F50" s="499">
        <v>31</v>
      </c>
      <c r="G50" s="499">
        <f t="shared" si="4"/>
        <v>0</v>
      </c>
      <c r="H50" s="492">
        <v>0</v>
      </c>
      <c r="I50" s="492">
        <v>0</v>
      </c>
      <c r="J50" s="492">
        <v>0</v>
      </c>
      <c r="K50" s="785">
        <f t="shared" si="2"/>
        <v>278</v>
      </c>
      <c r="L50" s="500">
        <v>0</v>
      </c>
      <c r="M50" s="500">
        <v>0</v>
      </c>
      <c r="N50" s="500">
        <v>0</v>
      </c>
      <c r="O50" s="500">
        <v>0</v>
      </c>
      <c r="P50" s="492">
        <f t="shared" si="3"/>
        <v>0</v>
      </c>
      <c r="Q50" s="786"/>
      <c r="R50" s="784"/>
      <c r="S50" s="784"/>
      <c r="T50" s="784"/>
      <c r="U50" s="784"/>
      <c r="V50" s="784"/>
      <c r="W50" s="784"/>
      <c r="X50" s="787"/>
      <c r="Y50" s="789"/>
    </row>
    <row r="51" spans="1:25" s="490" customFormat="1" ht="13.5" customHeight="1" x14ac:dyDescent="0.25">
      <c r="A51" s="783">
        <v>43</v>
      </c>
      <c r="B51" s="790" t="s">
        <v>139</v>
      </c>
      <c r="C51" s="498" t="s">
        <v>140</v>
      </c>
      <c r="D51" s="784">
        <v>252</v>
      </c>
      <c r="E51" s="784"/>
      <c r="F51" s="499">
        <v>32</v>
      </c>
      <c r="G51" s="499">
        <f t="shared" si="4"/>
        <v>35</v>
      </c>
      <c r="H51" s="492">
        <v>35</v>
      </c>
      <c r="I51" s="492">
        <v>0</v>
      </c>
      <c r="J51" s="492">
        <v>0</v>
      </c>
      <c r="K51" s="785">
        <f t="shared" si="2"/>
        <v>319</v>
      </c>
      <c r="L51" s="500">
        <v>0</v>
      </c>
      <c r="M51" s="500">
        <v>0</v>
      </c>
      <c r="N51" s="500">
        <v>0</v>
      </c>
      <c r="O51" s="500">
        <v>0</v>
      </c>
      <c r="P51" s="492">
        <f t="shared" si="3"/>
        <v>0</v>
      </c>
      <c r="Q51" s="786"/>
      <c r="R51" s="784"/>
      <c r="S51" s="784"/>
      <c r="T51" s="784"/>
      <c r="U51" s="784"/>
      <c r="V51" s="784"/>
      <c r="W51" s="784"/>
      <c r="X51" s="787"/>
      <c r="Y51" s="789"/>
    </row>
    <row r="52" spans="1:25" s="490" customFormat="1" ht="13.5" customHeight="1" x14ac:dyDescent="0.25">
      <c r="A52" s="783">
        <v>44</v>
      </c>
      <c r="B52" s="790" t="s">
        <v>242</v>
      </c>
      <c r="C52" s="498" t="s">
        <v>243</v>
      </c>
      <c r="D52" s="784">
        <v>1072</v>
      </c>
      <c r="E52" s="784">
        <v>0</v>
      </c>
      <c r="F52" s="499">
        <v>0</v>
      </c>
      <c r="G52" s="499">
        <f t="shared" si="4"/>
        <v>0</v>
      </c>
      <c r="H52" s="492">
        <v>0</v>
      </c>
      <c r="I52" s="492">
        <v>0</v>
      </c>
      <c r="J52" s="492">
        <v>0</v>
      </c>
      <c r="K52" s="785">
        <f t="shared" si="2"/>
        <v>1072</v>
      </c>
      <c r="L52" s="500">
        <v>0</v>
      </c>
      <c r="M52" s="500">
        <v>0</v>
      </c>
      <c r="N52" s="500">
        <v>0</v>
      </c>
      <c r="O52" s="500">
        <v>0</v>
      </c>
      <c r="P52" s="492">
        <f t="shared" si="3"/>
        <v>0</v>
      </c>
      <c r="Q52" s="786"/>
      <c r="R52" s="784"/>
      <c r="S52" s="784"/>
      <c r="T52" s="784"/>
      <c r="U52" s="784"/>
      <c r="V52" s="784"/>
      <c r="W52" s="784"/>
      <c r="X52" s="787"/>
      <c r="Y52" s="789"/>
    </row>
    <row r="53" spans="1:25" s="490" customFormat="1" ht="13.5" customHeight="1" x14ac:dyDescent="0.25">
      <c r="A53" s="783">
        <v>45</v>
      </c>
      <c r="B53" s="790" t="s">
        <v>159</v>
      </c>
      <c r="C53" s="498" t="s">
        <v>160</v>
      </c>
      <c r="D53" s="784">
        <v>453</v>
      </c>
      <c r="E53" s="784"/>
      <c r="F53" s="499">
        <v>58</v>
      </c>
      <c r="G53" s="499">
        <f t="shared" si="4"/>
        <v>0</v>
      </c>
      <c r="H53" s="492">
        <v>0</v>
      </c>
      <c r="I53" s="492">
        <v>0</v>
      </c>
      <c r="J53" s="492">
        <v>0</v>
      </c>
      <c r="K53" s="785">
        <f t="shared" si="2"/>
        <v>511</v>
      </c>
      <c r="L53" s="500">
        <v>0</v>
      </c>
      <c r="M53" s="500">
        <v>0</v>
      </c>
      <c r="N53" s="500">
        <v>0</v>
      </c>
      <c r="O53" s="500">
        <v>0</v>
      </c>
      <c r="P53" s="492">
        <f t="shared" si="3"/>
        <v>0</v>
      </c>
      <c r="Q53" s="786"/>
      <c r="R53" s="784"/>
      <c r="S53" s="784"/>
      <c r="T53" s="784"/>
      <c r="U53" s="784"/>
      <c r="V53" s="784"/>
      <c r="W53" s="784"/>
      <c r="X53" s="787"/>
      <c r="Y53" s="789"/>
    </row>
    <row r="54" spans="1:25" s="490" customFormat="1" ht="13.5" customHeight="1" x14ac:dyDescent="0.25">
      <c r="A54" s="783">
        <v>46</v>
      </c>
      <c r="B54" s="790" t="s">
        <v>58</v>
      </c>
      <c r="C54" s="498" t="s">
        <v>59</v>
      </c>
      <c r="D54" s="784">
        <v>1623</v>
      </c>
      <c r="E54" s="784">
        <v>38</v>
      </c>
      <c r="F54" s="499">
        <v>207</v>
      </c>
      <c r="G54" s="499">
        <f t="shared" si="4"/>
        <v>0</v>
      </c>
      <c r="H54" s="492">
        <v>0</v>
      </c>
      <c r="I54" s="492">
        <v>0</v>
      </c>
      <c r="J54" s="492">
        <v>0</v>
      </c>
      <c r="K54" s="785">
        <f t="shared" si="2"/>
        <v>1868</v>
      </c>
      <c r="L54" s="500">
        <v>23</v>
      </c>
      <c r="M54" s="500">
        <v>175</v>
      </c>
      <c r="N54" s="500">
        <v>460</v>
      </c>
      <c r="O54" s="500">
        <v>312</v>
      </c>
      <c r="P54" s="492">
        <f t="shared" si="3"/>
        <v>970</v>
      </c>
      <c r="Q54" s="786"/>
      <c r="R54" s="784"/>
      <c r="S54" s="784"/>
      <c r="T54" s="784"/>
      <c r="U54" s="784"/>
      <c r="V54" s="784"/>
      <c r="W54" s="784"/>
      <c r="X54" s="787"/>
      <c r="Y54" s="789"/>
    </row>
    <row r="55" spans="1:25" s="490" customFormat="1" ht="13.5" customHeight="1" x14ac:dyDescent="0.25">
      <c r="A55" s="783">
        <v>47</v>
      </c>
      <c r="B55" s="790" t="s">
        <v>119</v>
      </c>
      <c r="C55" s="498" t="s">
        <v>120</v>
      </c>
      <c r="D55" s="784">
        <v>460</v>
      </c>
      <c r="E55" s="784"/>
      <c r="F55" s="499">
        <v>49</v>
      </c>
      <c r="G55" s="499">
        <f t="shared" si="4"/>
        <v>0</v>
      </c>
      <c r="H55" s="492">
        <v>0</v>
      </c>
      <c r="I55" s="492">
        <v>0</v>
      </c>
      <c r="J55" s="492">
        <v>0</v>
      </c>
      <c r="K55" s="785">
        <f t="shared" si="2"/>
        <v>509</v>
      </c>
      <c r="L55" s="500">
        <v>0</v>
      </c>
      <c r="M55" s="500">
        <v>0</v>
      </c>
      <c r="N55" s="500">
        <v>0</v>
      </c>
      <c r="O55" s="500">
        <v>0</v>
      </c>
      <c r="P55" s="492">
        <f t="shared" si="3"/>
        <v>0</v>
      </c>
      <c r="Q55" s="786"/>
      <c r="R55" s="784"/>
      <c r="S55" s="784"/>
      <c r="T55" s="784"/>
      <c r="U55" s="784"/>
      <c r="V55" s="784"/>
      <c r="W55" s="784"/>
      <c r="X55" s="787"/>
      <c r="Y55" s="789"/>
    </row>
    <row r="56" spans="1:25" s="490" customFormat="1" ht="13.5" customHeight="1" x14ac:dyDescent="0.25">
      <c r="A56" s="783">
        <v>48</v>
      </c>
      <c r="B56" s="790" t="s">
        <v>121</v>
      </c>
      <c r="C56" s="498" t="s">
        <v>122</v>
      </c>
      <c r="D56" s="784">
        <v>411</v>
      </c>
      <c r="E56" s="784"/>
      <c r="F56" s="499">
        <v>52</v>
      </c>
      <c r="G56" s="499">
        <f t="shared" si="4"/>
        <v>0</v>
      </c>
      <c r="H56" s="492">
        <v>0</v>
      </c>
      <c r="I56" s="492">
        <v>0</v>
      </c>
      <c r="J56" s="492">
        <v>0</v>
      </c>
      <c r="K56" s="785">
        <f t="shared" si="2"/>
        <v>463</v>
      </c>
      <c r="L56" s="500">
        <v>0</v>
      </c>
      <c r="M56" s="500">
        <v>0</v>
      </c>
      <c r="N56" s="500">
        <v>0</v>
      </c>
      <c r="O56" s="500">
        <v>0</v>
      </c>
      <c r="P56" s="492">
        <f t="shared" si="3"/>
        <v>0</v>
      </c>
      <c r="Q56" s="786"/>
      <c r="R56" s="784"/>
      <c r="S56" s="784"/>
      <c r="T56" s="784"/>
      <c r="U56" s="784"/>
      <c r="V56" s="784"/>
      <c r="W56" s="784"/>
      <c r="X56" s="787"/>
      <c r="Y56" s="789"/>
    </row>
    <row r="57" spans="1:25" s="490" customFormat="1" ht="13.5" customHeight="1" x14ac:dyDescent="0.25">
      <c r="A57" s="783">
        <v>49</v>
      </c>
      <c r="B57" s="790" t="s">
        <v>244</v>
      </c>
      <c r="C57" s="498" t="s">
        <v>245</v>
      </c>
      <c r="D57" s="784">
        <v>862</v>
      </c>
      <c r="E57" s="784"/>
      <c r="F57" s="499">
        <v>110</v>
      </c>
      <c r="G57" s="499">
        <f t="shared" si="4"/>
        <v>0</v>
      </c>
      <c r="H57" s="492">
        <v>0</v>
      </c>
      <c r="I57" s="492">
        <v>0</v>
      </c>
      <c r="J57" s="492">
        <v>0</v>
      </c>
      <c r="K57" s="785">
        <f t="shared" si="2"/>
        <v>972</v>
      </c>
      <c r="L57" s="500">
        <v>0</v>
      </c>
      <c r="M57" s="500">
        <v>0</v>
      </c>
      <c r="N57" s="500">
        <v>0</v>
      </c>
      <c r="O57" s="500">
        <v>0</v>
      </c>
      <c r="P57" s="492">
        <f t="shared" si="3"/>
        <v>0</v>
      </c>
      <c r="Q57" s="786"/>
      <c r="R57" s="784"/>
      <c r="S57" s="784"/>
      <c r="T57" s="784"/>
      <c r="U57" s="784"/>
      <c r="V57" s="784"/>
      <c r="W57" s="784"/>
      <c r="X57" s="787"/>
      <c r="Y57" s="789"/>
    </row>
    <row r="58" spans="1:25" s="490" customFormat="1" ht="13.5" customHeight="1" x14ac:dyDescent="0.25">
      <c r="A58" s="783">
        <v>50</v>
      </c>
      <c r="B58" s="790" t="s">
        <v>60</v>
      </c>
      <c r="C58" s="498" t="s">
        <v>303</v>
      </c>
      <c r="D58" s="784">
        <v>1591</v>
      </c>
      <c r="E58" s="784">
        <v>67</v>
      </c>
      <c r="F58" s="499">
        <v>365</v>
      </c>
      <c r="G58" s="499">
        <f t="shared" si="4"/>
        <v>0</v>
      </c>
      <c r="H58" s="492">
        <v>0</v>
      </c>
      <c r="I58" s="492">
        <v>0</v>
      </c>
      <c r="J58" s="492">
        <v>0</v>
      </c>
      <c r="K58" s="785">
        <f t="shared" si="2"/>
        <v>2023</v>
      </c>
      <c r="L58" s="500">
        <v>0</v>
      </c>
      <c r="M58" s="500">
        <v>0</v>
      </c>
      <c r="N58" s="500">
        <v>0</v>
      </c>
      <c r="O58" s="500">
        <v>0</v>
      </c>
      <c r="P58" s="492">
        <f t="shared" si="3"/>
        <v>0</v>
      </c>
      <c r="Q58" s="786"/>
      <c r="R58" s="784"/>
      <c r="S58" s="784"/>
      <c r="T58" s="784"/>
      <c r="U58" s="784"/>
      <c r="V58" s="784"/>
      <c r="W58" s="784"/>
      <c r="X58" s="787"/>
      <c r="Y58" s="789"/>
    </row>
    <row r="59" spans="1:25" s="490" customFormat="1" ht="13.5" customHeight="1" x14ac:dyDescent="0.25">
      <c r="A59" s="783">
        <v>51</v>
      </c>
      <c r="B59" s="790" t="s">
        <v>246</v>
      </c>
      <c r="C59" s="498" t="s">
        <v>247</v>
      </c>
      <c r="D59" s="784">
        <v>301</v>
      </c>
      <c r="E59" s="784">
        <v>9</v>
      </c>
      <c r="F59" s="499">
        <v>38</v>
      </c>
      <c r="G59" s="499">
        <f t="shared" si="4"/>
        <v>0</v>
      </c>
      <c r="H59" s="492">
        <v>0</v>
      </c>
      <c r="I59" s="492">
        <v>0</v>
      </c>
      <c r="J59" s="492">
        <v>0</v>
      </c>
      <c r="K59" s="785">
        <f t="shared" si="2"/>
        <v>348</v>
      </c>
      <c r="L59" s="500">
        <v>0</v>
      </c>
      <c r="M59" s="500">
        <v>0</v>
      </c>
      <c r="N59" s="500">
        <v>0</v>
      </c>
      <c r="O59" s="500">
        <v>0</v>
      </c>
      <c r="P59" s="492">
        <f t="shared" si="3"/>
        <v>0</v>
      </c>
      <c r="Q59" s="786"/>
      <c r="R59" s="784"/>
      <c r="S59" s="784"/>
      <c r="T59" s="784"/>
      <c r="U59" s="784"/>
      <c r="V59" s="784"/>
      <c r="W59" s="784"/>
      <c r="X59" s="787"/>
      <c r="Y59" s="789"/>
    </row>
    <row r="60" spans="1:25" s="490" customFormat="1" ht="13.5" customHeight="1" x14ac:dyDescent="0.25">
      <c r="A60" s="783">
        <v>52</v>
      </c>
      <c r="B60" s="790" t="s">
        <v>123</v>
      </c>
      <c r="C60" s="498" t="s">
        <v>124</v>
      </c>
      <c r="D60" s="784">
        <v>561</v>
      </c>
      <c r="E60" s="784"/>
      <c r="F60" s="499">
        <v>72</v>
      </c>
      <c r="G60" s="499">
        <f t="shared" si="4"/>
        <v>0</v>
      </c>
      <c r="H60" s="492">
        <v>0</v>
      </c>
      <c r="I60" s="492">
        <v>0</v>
      </c>
      <c r="J60" s="492">
        <v>0</v>
      </c>
      <c r="K60" s="785">
        <f t="shared" si="2"/>
        <v>633</v>
      </c>
      <c r="L60" s="500">
        <v>0</v>
      </c>
      <c r="M60" s="500">
        <v>0</v>
      </c>
      <c r="N60" s="500">
        <v>0</v>
      </c>
      <c r="O60" s="500">
        <v>0</v>
      </c>
      <c r="P60" s="492">
        <f t="shared" si="3"/>
        <v>0</v>
      </c>
      <c r="Q60" s="786"/>
      <c r="R60" s="784"/>
      <c r="S60" s="784"/>
      <c r="T60" s="784"/>
      <c r="U60" s="784"/>
      <c r="V60" s="784"/>
      <c r="W60" s="784"/>
      <c r="X60" s="787"/>
      <c r="Y60" s="789"/>
    </row>
    <row r="61" spans="1:25" s="490" customFormat="1" ht="13.5" customHeight="1" x14ac:dyDescent="0.25">
      <c r="A61" s="783">
        <v>53</v>
      </c>
      <c r="B61" s="790" t="s">
        <v>161</v>
      </c>
      <c r="C61" s="498" t="s">
        <v>162</v>
      </c>
      <c r="D61" s="784">
        <v>597</v>
      </c>
      <c r="E61" s="784">
        <v>14</v>
      </c>
      <c r="F61" s="499">
        <v>76</v>
      </c>
      <c r="G61" s="499">
        <f t="shared" si="4"/>
        <v>0</v>
      </c>
      <c r="H61" s="492">
        <v>0</v>
      </c>
      <c r="I61" s="492">
        <v>0</v>
      </c>
      <c r="J61" s="492">
        <v>0</v>
      </c>
      <c r="K61" s="785">
        <f t="shared" si="2"/>
        <v>687</v>
      </c>
      <c r="L61" s="500">
        <v>0</v>
      </c>
      <c r="M61" s="500">
        <v>0</v>
      </c>
      <c r="N61" s="500">
        <v>0</v>
      </c>
      <c r="O61" s="500">
        <v>0</v>
      </c>
      <c r="P61" s="492">
        <f t="shared" si="3"/>
        <v>0</v>
      </c>
      <c r="Q61" s="786"/>
      <c r="R61" s="784"/>
      <c r="S61" s="784"/>
      <c r="T61" s="784"/>
      <c r="U61" s="784"/>
      <c r="V61" s="784"/>
      <c r="W61" s="784"/>
      <c r="X61" s="787"/>
      <c r="Y61" s="789"/>
    </row>
    <row r="62" spans="1:25" s="490" customFormat="1" ht="13.5" customHeight="1" x14ac:dyDescent="0.25">
      <c r="A62" s="783">
        <v>54</v>
      </c>
      <c r="B62" s="790" t="s">
        <v>248</v>
      </c>
      <c r="C62" s="498" t="s">
        <v>249</v>
      </c>
      <c r="D62" s="784">
        <v>475</v>
      </c>
      <c r="E62" s="784"/>
      <c r="F62" s="499">
        <v>61</v>
      </c>
      <c r="G62" s="499">
        <f t="shared" si="4"/>
        <v>0</v>
      </c>
      <c r="H62" s="492">
        <v>0</v>
      </c>
      <c r="I62" s="492">
        <v>0</v>
      </c>
      <c r="J62" s="492">
        <v>0</v>
      </c>
      <c r="K62" s="785">
        <f t="shared" si="2"/>
        <v>536</v>
      </c>
      <c r="L62" s="500">
        <v>0</v>
      </c>
      <c r="M62" s="500">
        <v>0</v>
      </c>
      <c r="N62" s="500">
        <v>0</v>
      </c>
      <c r="O62" s="500">
        <v>0</v>
      </c>
      <c r="P62" s="492">
        <f t="shared" si="3"/>
        <v>0</v>
      </c>
      <c r="Q62" s="786"/>
      <c r="R62" s="784"/>
      <c r="S62" s="784"/>
      <c r="T62" s="784"/>
      <c r="U62" s="784"/>
      <c r="V62" s="784"/>
      <c r="W62" s="784"/>
      <c r="X62" s="787"/>
      <c r="Y62" s="789"/>
    </row>
    <row r="63" spans="1:25" s="490" customFormat="1" ht="13.5" customHeight="1" x14ac:dyDescent="0.25">
      <c r="A63" s="783">
        <v>55</v>
      </c>
      <c r="B63" s="790" t="s">
        <v>250</v>
      </c>
      <c r="C63" s="498" t="s">
        <v>251</v>
      </c>
      <c r="D63" s="784">
        <v>446</v>
      </c>
      <c r="E63" s="784">
        <v>10</v>
      </c>
      <c r="F63" s="499">
        <v>57</v>
      </c>
      <c r="G63" s="499">
        <f t="shared" si="4"/>
        <v>0</v>
      </c>
      <c r="H63" s="492">
        <v>0</v>
      </c>
      <c r="I63" s="492">
        <v>0</v>
      </c>
      <c r="J63" s="492">
        <v>0</v>
      </c>
      <c r="K63" s="785">
        <f t="shared" si="2"/>
        <v>513</v>
      </c>
      <c r="L63" s="500">
        <v>0</v>
      </c>
      <c r="M63" s="500">
        <v>0</v>
      </c>
      <c r="N63" s="500">
        <v>0</v>
      </c>
      <c r="O63" s="500">
        <v>0</v>
      </c>
      <c r="P63" s="492">
        <f t="shared" si="3"/>
        <v>0</v>
      </c>
      <c r="Q63" s="786"/>
      <c r="R63" s="784"/>
      <c r="S63" s="784"/>
      <c r="T63" s="784"/>
      <c r="U63" s="784"/>
      <c r="V63" s="784"/>
      <c r="W63" s="784"/>
      <c r="X63" s="787"/>
      <c r="Y63" s="789"/>
    </row>
    <row r="64" spans="1:25" s="490" customFormat="1" ht="13.5" customHeight="1" x14ac:dyDescent="0.25">
      <c r="A64" s="783">
        <v>56</v>
      </c>
      <c r="B64" s="790" t="s">
        <v>82</v>
      </c>
      <c r="C64" s="498" t="s">
        <v>83</v>
      </c>
      <c r="D64" s="784">
        <v>1555</v>
      </c>
      <c r="E64" s="784">
        <v>36</v>
      </c>
      <c r="F64" s="499">
        <v>198</v>
      </c>
      <c r="G64" s="499">
        <f t="shared" si="4"/>
        <v>0</v>
      </c>
      <c r="H64" s="492">
        <v>0</v>
      </c>
      <c r="I64" s="492">
        <v>0</v>
      </c>
      <c r="J64" s="492">
        <v>0</v>
      </c>
      <c r="K64" s="785">
        <f t="shared" si="2"/>
        <v>1789</v>
      </c>
      <c r="L64" s="500">
        <v>0</v>
      </c>
      <c r="M64" s="500">
        <v>0</v>
      </c>
      <c r="N64" s="500">
        <v>0</v>
      </c>
      <c r="O64" s="500">
        <v>0</v>
      </c>
      <c r="P64" s="492">
        <f t="shared" si="3"/>
        <v>0</v>
      </c>
      <c r="Q64" s="786"/>
      <c r="R64" s="784"/>
      <c r="S64" s="784"/>
      <c r="T64" s="784"/>
      <c r="U64" s="784"/>
      <c r="V64" s="784"/>
      <c r="W64" s="784"/>
      <c r="X64" s="787"/>
      <c r="Y64" s="789"/>
    </row>
    <row r="65" spans="1:25" s="490" customFormat="1" ht="13.5" customHeight="1" x14ac:dyDescent="0.25">
      <c r="A65" s="783">
        <v>57</v>
      </c>
      <c r="B65" s="790" t="s">
        <v>32</v>
      </c>
      <c r="C65" s="498" t="s">
        <v>33</v>
      </c>
      <c r="D65" s="784">
        <v>535</v>
      </c>
      <c r="E65" s="784">
        <v>20</v>
      </c>
      <c r="F65" s="499">
        <v>68</v>
      </c>
      <c r="G65" s="499">
        <f t="shared" si="4"/>
        <v>289</v>
      </c>
      <c r="H65" s="492">
        <v>220</v>
      </c>
      <c r="I65" s="492">
        <v>28</v>
      </c>
      <c r="J65" s="492">
        <v>41</v>
      </c>
      <c r="K65" s="785">
        <f t="shared" si="2"/>
        <v>912</v>
      </c>
      <c r="L65" s="500">
        <v>0</v>
      </c>
      <c r="M65" s="500">
        <v>0</v>
      </c>
      <c r="N65" s="500">
        <v>0</v>
      </c>
      <c r="O65" s="500">
        <v>0</v>
      </c>
      <c r="P65" s="492">
        <f t="shared" si="3"/>
        <v>0</v>
      </c>
      <c r="Q65" s="786"/>
      <c r="R65" s="784"/>
      <c r="S65" s="784"/>
      <c r="T65" s="784"/>
      <c r="U65" s="784"/>
      <c r="V65" s="784"/>
      <c r="W65" s="784"/>
      <c r="X65" s="787"/>
      <c r="Y65" s="789"/>
    </row>
    <row r="66" spans="1:25" s="490" customFormat="1" ht="13.5" customHeight="1" x14ac:dyDescent="0.25">
      <c r="A66" s="783">
        <v>58</v>
      </c>
      <c r="B66" s="790" t="s">
        <v>125</v>
      </c>
      <c r="C66" s="498" t="s">
        <v>126</v>
      </c>
      <c r="D66" s="784">
        <v>411</v>
      </c>
      <c r="E66" s="784"/>
      <c r="F66" s="499">
        <v>52</v>
      </c>
      <c r="G66" s="499">
        <f t="shared" si="4"/>
        <v>0</v>
      </c>
      <c r="H66" s="492">
        <v>0</v>
      </c>
      <c r="I66" s="492">
        <v>0</v>
      </c>
      <c r="J66" s="492">
        <v>0</v>
      </c>
      <c r="K66" s="785">
        <f t="shared" si="2"/>
        <v>463</v>
      </c>
      <c r="L66" s="500">
        <v>0</v>
      </c>
      <c r="M66" s="500">
        <v>0</v>
      </c>
      <c r="N66" s="500">
        <v>0</v>
      </c>
      <c r="O66" s="500">
        <v>0</v>
      </c>
      <c r="P66" s="492">
        <f t="shared" si="3"/>
        <v>0</v>
      </c>
      <c r="Q66" s="786"/>
      <c r="R66" s="784"/>
      <c r="S66" s="784"/>
      <c r="T66" s="784"/>
      <c r="U66" s="784"/>
      <c r="V66" s="784"/>
      <c r="W66" s="784"/>
      <c r="X66" s="787"/>
      <c r="Y66" s="789"/>
    </row>
    <row r="67" spans="1:25" s="490" customFormat="1" ht="13.5" customHeight="1" x14ac:dyDescent="0.25">
      <c r="A67" s="783">
        <v>59</v>
      </c>
      <c r="B67" s="790" t="s">
        <v>181</v>
      </c>
      <c r="C67" s="498" t="s">
        <v>182</v>
      </c>
      <c r="D67" s="784">
        <v>474</v>
      </c>
      <c r="E67" s="784">
        <v>11</v>
      </c>
      <c r="F67" s="499">
        <v>60</v>
      </c>
      <c r="G67" s="499">
        <f t="shared" si="4"/>
        <v>0</v>
      </c>
      <c r="H67" s="492">
        <v>0</v>
      </c>
      <c r="I67" s="492">
        <v>0</v>
      </c>
      <c r="J67" s="492">
        <v>0</v>
      </c>
      <c r="K67" s="785">
        <f t="shared" si="2"/>
        <v>545</v>
      </c>
      <c r="L67" s="500">
        <v>0</v>
      </c>
      <c r="M67" s="500">
        <v>0</v>
      </c>
      <c r="N67" s="500">
        <v>0</v>
      </c>
      <c r="O67" s="500">
        <v>0</v>
      </c>
      <c r="P67" s="492">
        <f t="shared" si="3"/>
        <v>0</v>
      </c>
      <c r="Q67" s="786"/>
      <c r="R67" s="784"/>
      <c r="S67" s="784"/>
      <c r="T67" s="784"/>
      <c r="U67" s="784"/>
      <c r="V67" s="784"/>
      <c r="W67" s="784"/>
      <c r="X67" s="787"/>
      <c r="Y67" s="789"/>
    </row>
    <row r="68" spans="1:25" s="490" customFormat="1" ht="13.5" customHeight="1" x14ac:dyDescent="0.25">
      <c r="A68" s="783">
        <v>60</v>
      </c>
      <c r="B68" s="790" t="s">
        <v>163</v>
      </c>
      <c r="C68" s="498" t="s">
        <v>164</v>
      </c>
      <c r="D68" s="784">
        <v>542</v>
      </c>
      <c r="E68" s="784">
        <v>13</v>
      </c>
      <c r="F68" s="499">
        <v>69</v>
      </c>
      <c r="G68" s="499">
        <f t="shared" si="4"/>
        <v>0</v>
      </c>
      <c r="H68" s="492">
        <v>0</v>
      </c>
      <c r="I68" s="492">
        <v>0</v>
      </c>
      <c r="J68" s="492">
        <v>0</v>
      </c>
      <c r="K68" s="785">
        <f t="shared" si="2"/>
        <v>624</v>
      </c>
      <c r="L68" s="500">
        <v>0</v>
      </c>
      <c r="M68" s="500">
        <v>0</v>
      </c>
      <c r="N68" s="500">
        <v>0</v>
      </c>
      <c r="O68" s="500">
        <v>0</v>
      </c>
      <c r="P68" s="492">
        <f t="shared" si="3"/>
        <v>0</v>
      </c>
      <c r="Q68" s="786"/>
      <c r="R68" s="784"/>
      <c r="S68" s="784"/>
      <c r="T68" s="784"/>
      <c r="U68" s="784"/>
      <c r="V68" s="784"/>
      <c r="W68" s="784"/>
      <c r="X68" s="787"/>
      <c r="Y68" s="789"/>
    </row>
    <row r="69" spans="1:25" s="490" customFormat="1" ht="13.5" customHeight="1" x14ac:dyDescent="0.25">
      <c r="A69" s="783">
        <v>61</v>
      </c>
      <c r="B69" s="790" t="s">
        <v>252</v>
      </c>
      <c r="C69" s="498" t="s">
        <v>253</v>
      </c>
      <c r="D69" s="784">
        <v>343</v>
      </c>
      <c r="E69" s="784"/>
      <c r="F69" s="499">
        <v>0</v>
      </c>
      <c r="G69" s="499">
        <f t="shared" si="4"/>
        <v>0</v>
      </c>
      <c r="H69" s="492">
        <v>0</v>
      </c>
      <c r="I69" s="492">
        <v>0</v>
      </c>
      <c r="J69" s="492">
        <v>0</v>
      </c>
      <c r="K69" s="785">
        <f t="shared" si="2"/>
        <v>343</v>
      </c>
      <c r="L69" s="500">
        <v>0</v>
      </c>
      <c r="M69" s="500">
        <v>0</v>
      </c>
      <c r="N69" s="500">
        <v>0</v>
      </c>
      <c r="O69" s="500">
        <v>0</v>
      </c>
      <c r="P69" s="492">
        <f t="shared" si="3"/>
        <v>0</v>
      </c>
      <c r="Q69" s="786"/>
      <c r="R69" s="784"/>
      <c r="S69" s="784"/>
      <c r="T69" s="784"/>
      <c r="U69" s="784"/>
      <c r="V69" s="784"/>
      <c r="W69" s="784"/>
      <c r="X69" s="787"/>
      <c r="Y69" s="789"/>
    </row>
    <row r="70" spans="1:25" s="490" customFormat="1" ht="13.5" customHeight="1" x14ac:dyDescent="0.25">
      <c r="A70" s="783">
        <v>62</v>
      </c>
      <c r="B70" s="790" t="s">
        <v>62</v>
      </c>
      <c r="C70" s="498" t="s">
        <v>200</v>
      </c>
      <c r="D70" s="784">
        <v>2081</v>
      </c>
      <c r="E70" s="784"/>
      <c r="F70" s="499">
        <v>265</v>
      </c>
      <c r="G70" s="499">
        <f t="shared" si="4"/>
        <v>0</v>
      </c>
      <c r="H70" s="492">
        <v>0</v>
      </c>
      <c r="I70" s="492">
        <v>0</v>
      </c>
      <c r="J70" s="492">
        <v>0</v>
      </c>
      <c r="K70" s="785">
        <f t="shared" si="2"/>
        <v>2346</v>
      </c>
      <c r="L70" s="500">
        <v>0</v>
      </c>
      <c r="M70" s="500">
        <v>0</v>
      </c>
      <c r="N70" s="500">
        <v>0</v>
      </c>
      <c r="O70" s="500">
        <v>0</v>
      </c>
      <c r="P70" s="492">
        <f t="shared" si="3"/>
        <v>0</v>
      </c>
      <c r="Q70" s="786"/>
      <c r="R70" s="784"/>
      <c r="S70" s="784"/>
      <c r="T70" s="784"/>
      <c r="U70" s="784"/>
      <c r="V70" s="784"/>
      <c r="W70" s="784"/>
      <c r="X70" s="787"/>
      <c r="Y70" s="789"/>
    </row>
    <row r="71" spans="1:25" s="490" customFormat="1" ht="13.5" customHeight="1" x14ac:dyDescent="0.25">
      <c r="A71" s="783">
        <v>63</v>
      </c>
      <c r="B71" s="790" t="s">
        <v>64</v>
      </c>
      <c r="C71" s="498" t="s">
        <v>201</v>
      </c>
      <c r="D71" s="784">
        <v>1274</v>
      </c>
      <c r="E71" s="784"/>
      <c r="F71" s="499">
        <v>0</v>
      </c>
      <c r="G71" s="499">
        <f t="shared" si="4"/>
        <v>0</v>
      </c>
      <c r="H71" s="492">
        <v>0</v>
      </c>
      <c r="I71" s="492">
        <v>0</v>
      </c>
      <c r="J71" s="492">
        <v>0</v>
      </c>
      <c r="K71" s="785">
        <f t="shared" si="2"/>
        <v>1274</v>
      </c>
      <c r="L71" s="500">
        <v>0</v>
      </c>
      <c r="M71" s="500">
        <v>0</v>
      </c>
      <c r="N71" s="500">
        <v>0</v>
      </c>
      <c r="O71" s="500">
        <v>0</v>
      </c>
      <c r="P71" s="492">
        <f t="shared" si="3"/>
        <v>0</v>
      </c>
      <c r="Q71" s="786"/>
      <c r="R71" s="784"/>
      <c r="S71" s="784"/>
      <c r="T71" s="784"/>
      <c r="U71" s="784"/>
      <c r="V71" s="784"/>
      <c r="W71" s="784"/>
      <c r="X71" s="787"/>
      <c r="Y71" s="789"/>
    </row>
    <row r="72" spans="1:25" s="490" customFormat="1" ht="13.5" customHeight="1" x14ac:dyDescent="0.25">
      <c r="A72" s="783">
        <v>64</v>
      </c>
      <c r="B72" s="790" t="s">
        <v>66</v>
      </c>
      <c r="C72" s="498" t="s">
        <v>202</v>
      </c>
      <c r="D72" s="784">
        <v>2814</v>
      </c>
      <c r="E72" s="784">
        <v>65</v>
      </c>
      <c r="F72" s="499">
        <v>359</v>
      </c>
      <c r="G72" s="499">
        <f t="shared" si="4"/>
        <v>0</v>
      </c>
      <c r="H72" s="492">
        <v>0</v>
      </c>
      <c r="I72" s="492">
        <v>0</v>
      </c>
      <c r="J72" s="492">
        <v>0</v>
      </c>
      <c r="K72" s="785">
        <f t="shared" si="2"/>
        <v>3238</v>
      </c>
      <c r="L72" s="500">
        <v>0</v>
      </c>
      <c r="M72" s="500">
        <v>0</v>
      </c>
      <c r="N72" s="500">
        <v>0</v>
      </c>
      <c r="O72" s="500">
        <v>0</v>
      </c>
      <c r="P72" s="492">
        <f t="shared" si="3"/>
        <v>0</v>
      </c>
      <c r="Q72" s="786"/>
      <c r="R72" s="784"/>
      <c r="S72" s="784"/>
      <c r="T72" s="784"/>
      <c r="U72" s="784"/>
      <c r="V72" s="784"/>
      <c r="W72" s="784"/>
      <c r="X72" s="787"/>
      <c r="Y72" s="789"/>
    </row>
    <row r="73" spans="1:25" s="490" customFormat="1" ht="13.5" customHeight="1" x14ac:dyDescent="0.25">
      <c r="A73" s="783">
        <v>65</v>
      </c>
      <c r="B73" s="790" t="s">
        <v>183</v>
      </c>
      <c r="C73" s="498" t="s">
        <v>184</v>
      </c>
      <c r="D73" s="784">
        <v>740</v>
      </c>
      <c r="E73" s="784"/>
      <c r="F73" s="499">
        <v>94</v>
      </c>
      <c r="G73" s="499">
        <f t="shared" si="4"/>
        <v>0</v>
      </c>
      <c r="H73" s="492">
        <v>0</v>
      </c>
      <c r="I73" s="492">
        <v>0</v>
      </c>
      <c r="J73" s="492">
        <v>0</v>
      </c>
      <c r="K73" s="785">
        <f t="shared" si="2"/>
        <v>834</v>
      </c>
      <c r="L73" s="500">
        <v>0</v>
      </c>
      <c r="M73" s="500">
        <v>0</v>
      </c>
      <c r="N73" s="500">
        <v>0</v>
      </c>
      <c r="O73" s="500">
        <v>0</v>
      </c>
      <c r="P73" s="492">
        <f t="shared" si="3"/>
        <v>0</v>
      </c>
      <c r="Q73" s="786"/>
      <c r="R73" s="784"/>
      <c r="S73" s="784"/>
      <c r="T73" s="784"/>
      <c r="U73" s="784"/>
      <c r="V73" s="784"/>
      <c r="W73" s="784"/>
      <c r="X73" s="787"/>
      <c r="Y73" s="789"/>
    </row>
    <row r="74" spans="1:25" s="490" customFormat="1" ht="13.5" customHeight="1" x14ac:dyDescent="0.25">
      <c r="A74" s="783">
        <v>66</v>
      </c>
      <c r="B74" s="790" t="s">
        <v>165</v>
      </c>
      <c r="C74" s="498" t="s">
        <v>166</v>
      </c>
      <c r="D74" s="784">
        <v>358</v>
      </c>
      <c r="E74" s="784"/>
      <c r="F74" s="499">
        <v>0</v>
      </c>
      <c r="G74" s="499">
        <f t="shared" si="4"/>
        <v>0</v>
      </c>
      <c r="H74" s="492">
        <v>0</v>
      </c>
      <c r="I74" s="492">
        <v>0</v>
      </c>
      <c r="J74" s="492">
        <v>0</v>
      </c>
      <c r="K74" s="785">
        <f t="shared" ref="K74:K88" si="5">D74+E74+F74+G74</f>
        <v>358</v>
      </c>
      <c r="L74" s="500">
        <v>0</v>
      </c>
      <c r="M74" s="500">
        <v>0</v>
      </c>
      <c r="N74" s="500">
        <v>0</v>
      </c>
      <c r="O74" s="500">
        <v>0</v>
      </c>
      <c r="P74" s="492">
        <f t="shared" ref="P74:P95" si="6">L74+M74+N74+O74</f>
        <v>0</v>
      </c>
      <c r="Q74" s="786"/>
      <c r="R74" s="784"/>
      <c r="S74" s="784"/>
      <c r="T74" s="784"/>
      <c r="U74" s="784"/>
      <c r="V74" s="784"/>
      <c r="W74" s="784"/>
      <c r="X74" s="787"/>
      <c r="Y74" s="789"/>
    </row>
    <row r="75" spans="1:25" s="490" customFormat="1" ht="13.5" customHeight="1" x14ac:dyDescent="0.25">
      <c r="A75" s="783">
        <v>67</v>
      </c>
      <c r="B75" s="790" t="s">
        <v>86</v>
      </c>
      <c r="C75" s="498" t="s">
        <v>87</v>
      </c>
      <c r="D75" s="784">
        <v>613</v>
      </c>
      <c r="E75" s="784">
        <v>92</v>
      </c>
      <c r="F75" s="499">
        <v>65</v>
      </c>
      <c r="G75" s="499">
        <f t="shared" ref="G75:G95" si="7">H75+I75+J75</f>
        <v>0</v>
      </c>
      <c r="H75" s="492">
        <v>0</v>
      </c>
      <c r="I75" s="492">
        <v>0</v>
      </c>
      <c r="J75" s="492">
        <v>0</v>
      </c>
      <c r="K75" s="785">
        <f t="shared" si="5"/>
        <v>770</v>
      </c>
      <c r="L75" s="500">
        <v>0</v>
      </c>
      <c r="M75" s="500">
        <v>0</v>
      </c>
      <c r="N75" s="500">
        <v>0</v>
      </c>
      <c r="O75" s="500">
        <v>0</v>
      </c>
      <c r="P75" s="492">
        <f t="shared" si="6"/>
        <v>0</v>
      </c>
      <c r="Q75" s="786"/>
      <c r="R75" s="784"/>
      <c r="S75" s="784"/>
      <c r="T75" s="784"/>
      <c r="U75" s="784"/>
      <c r="V75" s="784"/>
      <c r="W75" s="784"/>
      <c r="X75" s="787"/>
      <c r="Y75" s="789"/>
    </row>
    <row r="76" spans="1:25" s="490" customFormat="1" ht="13.5" customHeight="1" x14ac:dyDescent="0.25">
      <c r="A76" s="783">
        <v>68</v>
      </c>
      <c r="B76" s="790" t="s">
        <v>185</v>
      </c>
      <c r="C76" s="498" t="s">
        <v>186</v>
      </c>
      <c r="D76" s="784">
        <v>2457</v>
      </c>
      <c r="E76" s="784"/>
      <c r="F76" s="499">
        <v>0</v>
      </c>
      <c r="G76" s="499">
        <f t="shared" si="7"/>
        <v>0</v>
      </c>
      <c r="H76" s="492">
        <v>0</v>
      </c>
      <c r="I76" s="492">
        <v>0</v>
      </c>
      <c r="J76" s="492">
        <v>0</v>
      </c>
      <c r="K76" s="785">
        <f t="shared" si="5"/>
        <v>2457</v>
      </c>
      <c r="L76" s="500">
        <v>37</v>
      </c>
      <c r="M76" s="500">
        <v>281</v>
      </c>
      <c r="N76" s="500">
        <v>862</v>
      </c>
      <c r="O76" s="500">
        <v>584</v>
      </c>
      <c r="P76" s="492">
        <f t="shared" si="6"/>
        <v>1764</v>
      </c>
      <c r="Q76" s="786"/>
      <c r="R76" s="784"/>
      <c r="S76" s="784"/>
      <c r="T76" s="784"/>
      <c r="U76" s="784"/>
      <c r="V76" s="784"/>
      <c r="W76" s="784"/>
      <c r="X76" s="787"/>
      <c r="Y76" s="789"/>
    </row>
    <row r="77" spans="1:25" s="490" customFormat="1" ht="13.5" customHeight="1" x14ac:dyDescent="0.25">
      <c r="A77" s="783">
        <v>69</v>
      </c>
      <c r="B77" s="790" t="s">
        <v>84</v>
      </c>
      <c r="C77" s="498" t="s">
        <v>85</v>
      </c>
      <c r="D77" s="784">
        <v>1306</v>
      </c>
      <c r="E77" s="784">
        <v>30</v>
      </c>
      <c r="F77" s="499">
        <v>167</v>
      </c>
      <c r="G77" s="499">
        <f t="shared" si="7"/>
        <v>184</v>
      </c>
      <c r="H77" s="492">
        <v>154</v>
      </c>
      <c r="I77" s="492">
        <v>0</v>
      </c>
      <c r="J77" s="492">
        <v>30</v>
      </c>
      <c r="K77" s="785">
        <f t="shared" si="5"/>
        <v>1687</v>
      </c>
      <c r="L77" s="500">
        <v>0</v>
      </c>
      <c r="M77" s="500">
        <v>0</v>
      </c>
      <c r="N77" s="500">
        <v>0</v>
      </c>
      <c r="O77" s="500">
        <v>0</v>
      </c>
      <c r="P77" s="492">
        <f t="shared" si="6"/>
        <v>0</v>
      </c>
      <c r="Q77" s="786"/>
      <c r="R77" s="784"/>
      <c r="S77" s="784"/>
      <c r="T77" s="784"/>
      <c r="U77" s="784"/>
      <c r="V77" s="784"/>
      <c r="W77" s="784"/>
      <c r="X77" s="787"/>
      <c r="Y77" s="789"/>
    </row>
    <row r="78" spans="1:25" s="490" customFormat="1" ht="13.5" customHeight="1" x14ac:dyDescent="0.25">
      <c r="A78" s="783">
        <v>70</v>
      </c>
      <c r="B78" s="790" t="s">
        <v>167</v>
      </c>
      <c r="C78" s="498" t="s">
        <v>168</v>
      </c>
      <c r="D78" s="784">
        <v>292</v>
      </c>
      <c r="E78" s="784"/>
      <c r="F78" s="499">
        <v>31</v>
      </c>
      <c r="G78" s="499">
        <f t="shared" si="7"/>
        <v>0</v>
      </c>
      <c r="H78" s="492">
        <v>0</v>
      </c>
      <c r="I78" s="492">
        <v>0</v>
      </c>
      <c r="J78" s="492">
        <v>0</v>
      </c>
      <c r="K78" s="785">
        <f t="shared" si="5"/>
        <v>323</v>
      </c>
      <c r="L78" s="500">
        <v>0</v>
      </c>
      <c r="M78" s="500">
        <v>0</v>
      </c>
      <c r="N78" s="500">
        <v>0</v>
      </c>
      <c r="O78" s="500">
        <v>0</v>
      </c>
      <c r="P78" s="492">
        <f t="shared" si="6"/>
        <v>0</v>
      </c>
      <c r="Q78" s="786"/>
      <c r="R78" s="784"/>
      <c r="S78" s="784"/>
      <c r="T78" s="784"/>
      <c r="U78" s="784"/>
      <c r="V78" s="784"/>
      <c r="W78" s="784"/>
      <c r="X78" s="787"/>
      <c r="Y78" s="789"/>
    </row>
    <row r="79" spans="1:25" s="490" customFormat="1" ht="13.5" customHeight="1" x14ac:dyDescent="0.25">
      <c r="A79" s="783">
        <v>71</v>
      </c>
      <c r="B79" s="790" t="s">
        <v>141</v>
      </c>
      <c r="C79" s="498" t="s">
        <v>142</v>
      </c>
      <c r="D79" s="784">
        <v>1119</v>
      </c>
      <c r="E79" s="784">
        <v>44</v>
      </c>
      <c r="F79" s="499">
        <v>143</v>
      </c>
      <c r="G79" s="499">
        <f t="shared" si="7"/>
        <v>160</v>
      </c>
      <c r="H79" s="492">
        <v>155</v>
      </c>
      <c r="I79" s="492">
        <v>0</v>
      </c>
      <c r="J79" s="492">
        <v>5</v>
      </c>
      <c r="K79" s="785">
        <f t="shared" si="5"/>
        <v>1466</v>
      </c>
      <c r="L79" s="500">
        <v>0</v>
      </c>
      <c r="M79" s="500">
        <v>0</v>
      </c>
      <c r="N79" s="500">
        <v>0</v>
      </c>
      <c r="O79" s="500">
        <v>0</v>
      </c>
      <c r="P79" s="492">
        <f t="shared" si="6"/>
        <v>0</v>
      </c>
      <c r="Q79" s="786"/>
      <c r="R79" s="784"/>
      <c r="S79" s="784"/>
      <c r="T79" s="784"/>
      <c r="U79" s="784"/>
      <c r="V79" s="784"/>
      <c r="W79" s="784"/>
      <c r="X79" s="787"/>
      <c r="Y79" s="789"/>
    </row>
    <row r="80" spans="1:25" s="490" customFormat="1" ht="13.5" customHeight="1" x14ac:dyDescent="0.25">
      <c r="A80" s="783">
        <v>72</v>
      </c>
      <c r="B80" s="790" t="s">
        <v>254</v>
      </c>
      <c r="C80" s="498" t="s">
        <v>255</v>
      </c>
      <c r="D80" s="784">
        <v>525</v>
      </c>
      <c r="E80" s="784">
        <v>13</v>
      </c>
      <c r="F80" s="499">
        <v>67</v>
      </c>
      <c r="G80" s="499">
        <f t="shared" si="7"/>
        <v>0</v>
      </c>
      <c r="H80" s="492">
        <v>0</v>
      </c>
      <c r="I80" s="492">
        <v>0</v>
      </c>
      <c r="J80" s="492">
        <v>0</v>
      </c>
      <c r="K80" s="785">
        <f t="shared" si="5"/>
        <v>605</v>
      </c>
      <c r="L80" s="500">
        <v>0</v>
      </c>
      <c r="M80" s="500">
        <v>0</v>
      </c>
      <c r="N80" s="500">
        <v>0</v>
      </c>
      <c r="O80" s="500">
        <v>0</v>
      </c>
      <c r="P80" s="492">
        <f t="shared" si="6"/>
        <v>0</v>
      </c>
      <c r="Q80" s="786"/>
      <c r="R80" s="784"/>
      <c r="S80" s="784"/>
      <c r="T80" s="784"/>
      <c r="U80" s="784"/>
      <c r="V80" s="784"/>
      <c r="W80" s="784"/>
      <c r="X80" s="787"/>
      <c r="Y80" s="789"/>
    </row>
    <row r="81" spans="1:25" s="490" customFormat="1" ht="13.5" customHeight="1" x14ac:dyDescent="0.25">
      <c r="A81" s="783">
        <v>73</v>
      </c>
      <c r="B81" s="790" t="s">
        <v>256</v>
      </c>
      <c r="C81" s="498" t="s">
        <v>257</v>
      </c>
      <c r="D81" s="784">
        <v>907</v>
      </c>
      <c r="E81" s="784">
        <v>20</v>
      </c>
      <c r="F81" s="499">
        <v>116</v>
      </c>
      <c r="G81" s="499">
        <f t="shared" si="7"/>
        <v>0</v>
      </c>
      <c r="H81" s="492">
        <v>0</v>
      </c>
      <c r="I81" s="492">
        <v>0</v>
      </c>
      <c r="J81" s="492">
        <v>0</v>
      </c>
      <c r="K81" s="785">
        <f t="shared" si="5"/>
        <v>1043</v>
      </c>
      <c r="L81" s="500">
        <v>0</v>
      </c>
      <c r="M81" s="500">
        <v>0</v>
      </c>
      <c r="N81" s="500">
        <v>0</v>
      </c>
      <c r="O81" s="500">
        <v>0</v>
      </c>
      <c r="P81" s="492">
        <f t="shared" si="6"/>
        <v>0</v>
      </c>
      <c r="Q81" s="786"/>
      <c r="R81" s="784"/>
      <c r="S81" s="784"/>
      <c r="T81" s="784"/>
      <c r="U81" s="784"/>
      <c r="V81" s="784"/>
      <c r="W81" s="784"/>
      <c r="X81" s="787"/>
      <c r="Y81" s="789"/>
    </row>
    <row r="82" spans="1:25" s="490" customFormat="1" ht="13.5" customHeight="1" x14ac:dyDescent="0.25">
      <c r="A82" s="783">
        <v>74</v>
      </c>
      <c r="B82" s="790" t="s">
        <v>187</v>
      </c>
      <c r="C82" s="498" t="s">
        <v>188</v>
      </c>
      <c r="D82" s="784">
        <v>397</v>
      </c>
      <c r="E82" s="784"/>
      <c r="F82" s="499">
        <v>51</v>
      </c>
      <c r="G82" s="499">
        <f t="shared" si="7"/>
        <v>0</v>
      </c>
      <c r="H82" s="492">
        <v>0</v>
      </c>
      <c r="I82" s="492">
        <v>0</v>
      </c>
      <c r="J82" s="492">
        <v>0</v>
      </c>
      <c r="K82" s="785">
        <f t="shared" si="5"/>
        <v>448</v>
      </c>
      <c r="L82" s="500">
        <v>0</v>
      </c>
      <c r="M82" s="500">
        <v>0</v>
      </c>
      <c r="N82" s="500">
        <v>0</v>
      </c>
      <c r="O82" s="500">
        <v>0</v>
      </c>
      <c r="P82" s="492">
        <f t="shared" si="6"/>
        <v>0</v>
      </c>
      <c r="Q82" s="786"/>
      <c r="R82" s="784"/>
      <c r="S82" s="784"/>
      <c r="T82" s="784"/>
      <c r="U82" s="784"/>
      <c r="V82" s="784"/>
      <c r="W82" s="784"/>
      <c r="X82" s="787"/>
      <c r="Y82" s="789"/>
    </row>
    <row r="83" spans="1:25" s="490" customFormat="1" ht="13.5" customHeight="1" x14ac:dyDescent="0.25">
      <c r="A83" s="783">
        <v>75</v>
      </c>
      <c r="B83" s="790" t="s">
        <v>76</v>
      </c>
      <c r="C83" s="498" t="s">
        <v>77</v>
      </c>
      <c r="D83" s="784">
        <v>415</v>
      </c>
      <c r="E83" s="784"/>
      <c r="F83" s="499">
        <v>0</v>
      </c>
      <c r="G83" s="499">
        <f t="shared" si="7"/>
        <v>0</v>
      </c>
      <c r="H83" s="492">
        <v>0</v>
      </c>
      <c r="I83" s="492">
        <v>0</v>
      </c>
      <c r="J83" s="492">
        <v>0</v>
      </c>
      <c r="K83" s="785">
        <f t="shared" si="5"/>
        <v>415</v>
      </c>
      <c r="L83" s="500">
        <v>0</v>
      </c>
      <c r="M83" s="500">
        <v>0</v>
      </c>
      <c r="N83" s="500">
        <v>0</v>
      </c>
      <c r="O83" s="500">
        <v>0</v>
      </c>
      <c r="P83" s="492">
        <f t="shared" si="6"/>
        <v>0</v>
      </c>
      <c r="Q83" s="786"/>
      <c r="R83" s="784"/>
      <c r="S83" s="784"/>
      <c r="T83" s="784"/>
      <c r="U83" s="784"/>
      <c r="V83" s="784"/>
      <c r="W83" s="784"/>
      <c r="X83" s="787"/>
      <c r="Y83" s="789"/>
    </row>
    <row r="84" spans="1:25" s="490" customFormat="1" ht="13.5" customHeight="1" x14ac:dyDescent="0.25">
      <c r="A84" s="783">
        <v>76</v>
      </c>
      <c r="B84" s="790" t="s">
        <v>127</v>
      </c>
      <c r="C84" s="498" t="s">
        <v>128</v>
      </c>
      <c r="D84" s="784">
        <v>830</v>
      </c>
      <c r="E84" s="784"/>
      <c r="F84" s="499">
        <v>106</v>
      </c>
      <c r="G84" s="499">
        <f t="shared" si="7"/>
        <v>121</v>
      </c>
      <c r="H84" s="492">
        <v>106</v>
      </c>
      <c r="I84" s="492">
        <v>5</v>
      </c>
      <c r="J84" s="492">
        <v>10</v>
      </c>
      <c r="K84" s="785">
        <f t="shared" si="5"/>
        <v>1057</v>
      </c>
      <c r="L84" s="500">
        <v>0</v>
      </c>
      <c r="M84" s="500">
        <v>0</v>
      </c>
      <c r="N84" s="500">
        <v>0</v>
      </c>
      <c r="O84" s="500">
        <v>0</v>
      </c>
      <c r="P84" s="492">
        <f t="shared" si="6"/>
        <v>0</v>
      </c>
      <c r="Q84" s="786"/>
      <c r="R84" s="784"/>
      <c r="S84" s="784"/>
      <c r="T84" s="784"/>
      <c r="U84" s="784"/>
      <c r="V84" s="784"/>
      <c r="W84" s="784"/>
      <c r="X84" s="787"/>
      <c r="Y84" s="789"/>
    </row>
    <row r="85" spans="1:25" s="490" customFormat="1" ht="13.5" customHeight="1" x14ac:dyDescent="0.25">
      <c r="A85" s="783">
        <v>77</v>
      </c>
      <c r="B85" s="790" t="s">
        <v>16</v>
      </c>
      <c r="C85" s="502" t="s">
        <v>17</v>
      </c>
      <c r="D85" s="784">
        <v>0</v>
      </c>
      <c r="E85" s="784"/>
      <c r="F85" s="499">
        <v>0</v>
      </c>
      <c r="G85" s="499">
        <f t="shared" si="7"/>
        <v>0</v>
      </c>
      <c r="H85" s="492">
        <v>0</v>
      </c>
      <c r="I85" s="492">
        <v>0</v>
      </c>
      <c r="J85" s="492">
        <v>0</v>
      </c>
      <c r="K85" s="785">
        <f t="shared" si="5"/>
        <v>0</v>
      </c>
      <c r="L85" s="500">
        <v>0</v>
      </c>
      <c r="M85" s="500">
        <v>0</v>
      </c>
      <c r="N85" s="500">
        <v>0</v>
      </c>
      <c r="O85" s="500">
        <v>0</v>
      </c>
      <c r="P85" s="492">
        <f t="shared" si="6"/>
        <v>0</v>
      </c>
      <c r="Q85" s="786"/>
      <c r="R85" s="784"/>
      <c r="S85" s="784"/>
      <c r="T85" s="784"/>
      <c r="U85" s="784"/>
      <c r="V85" s="784"/>
      <c r="W85" s="784"/>
      <c r="X85" s="787"/>
      <c r="Y85" s="789"/>
    </row>
    <row r="86" spans="1:25" s="490" customFormat="1" ht="13.5" customHeight="1" x14ac:dyDescent="0.25">
      <c r="A86" s="783">
        <v>78</v>
      </c>
      <c r="B86" s="498" t="s">
        <v>34</v>
      </c>
      <c r="C86" s="792" t="s">
        <v>35</v>
      </c>
      <c r="D86" s="784">
        <v>4715</v>
      </c>
      <c r="E86" s="784"/>
      <c r="F86" s="499">
        <v>0</v>
      </c>
      <c r="G86" s="499">
        <f t="shared" si="7"/>
        <v>0</v>
      </c>
      <c r="H86" s="492">
        <v>0</v>
      </c>
      <c r="I86" s="492">
        <v>0</v>
      </c>
      <c r="J86" s="492">
        <v>0</v>
      </c>
      <c r="K86" s="785">
        <f t="shared" si="5"/>
        <v>4715</v>
      </c>
      <c r="L86" s="500">
        <v>0</v>
      </c>
      <c r="M86" s="500">
        <v>0</v>
      </c>
      <c r="N86" s="500">
        <v>0</v>
      </c>
      <c r="O86" s="500">
        <v>0</v>
      </c>
      <c r="P86" s="492">
        <f t="shared" si="6"/>
        <v>0</v>
      </c>
      <c r="Q86" s="786"/>
      <c r="R86" s="784"/>
      <c r="S86" s="784"/>
      <c r="T86" s="784"/>
      <c r="U86" s="784"/>
      <c r="V86" s="784"/>
      <c r="W86" s="784"/>
      <c r="X86" s="787"/>
      <c r="Y86" s="789"/>
    </row>
    <row r="87" spans="1:25" s="490" customFormat="1" ht="13.5" customHeight="1" x14ac:dyDescent="0.25">
      <c r="A87" s="783">
        <v>79</v>
      </c>
      <c r="B87" s="790" t="s">
        <v>294</v>
      </c>
      <c r="C87" s="498" t="s">
        <v>616</v>
      </c>
      <c r="D87" s="784">
        <v>2000</v>
      </c>
      <c r="E87" s="784">
        <v>343</v>
      </c>
      <c r="F87" s="499">
        <v>452</v>
      </c>
      <c r="G87" s="499">
        <f t="shared" si="7"/>
        <v>540</v>
      </c>
      <c r="H87" s="492">
        <v>431</v>
      </c>
      <c r="I87" s="492">
        <v>53</v>
      </c>
      <c r="J87" s="492">
        <v>56</v>
      </c>
      <c r="K87" s="785">
        <f t="shared" si="5"/>
        <v>3335</v>
      </c>
      <c r="L87" s="500">
        <v>343</v>
      </c>
      <c r="M87" s="500">
        <v>1284</v>
      </c>
      <c r="N87" s="500">
        <v>4444</v>
      </c>
      <c r="O87" s="500">
        <v>3011</v>
      </c>
      <c r="P87" s="492">
        <f t="shared" si="6"/>
        <v>9082</v>
      </c>
      <c r="Q87" s="786"/>
      <c r="R87" s="784"/>
      <c r="S87" s="784"/>
      <c r="T87" s="784"/>
      <c r="U87" s="784"/>
      <c r="V87" s="784"/>
      <c r="W87" s="784"/>
      <c r="X87" s="787"/>
      <c r="Y87" s="789"/>
    </row>
    <row r="88" spans="1:25" s="490" customFormat="1" ht="13.5" customHeight="1" x14ac:dyDescent="0.25">
      <c r="A88" s="783">
        <v>80</v>
      </c>
      <c r="B88" s="790" t="s">
        <v>68</v>
      </c>
      <c r="C88" s="498" t="s">
        <v>69</v>
      </c>
      <c r="D88" s="784">
        <v>1560</v>
      </c>
      <c r="E88" s="784"/>
      <c r="F88" s="499">
        <v>0</v>
      </c>
      <c r="G88" s="499">
        <f t="shared" si="7"/>
        <v>0</v>
      </c>
      <c r="H88" s="492">
        <v>0</v>
      </c>
      <c r="I88" s="492">
        <v>0</v>
      </c>
      <c r="J88" s="492">
        <v>0</v>
      </c>
      <c r="K88" s="785">
        <f t="shared" si="5"/>
        <v>1560</v>
      </c>
      <c r="L88" s="500">
        <v>0</v>
      </c>
      <c r="M88" s="500">
        <v>0</v>
      </c>
      <c r="N88" s="500">
        <v>0</v>
      </c>
      <c r="O88" s="500">
        <v>0</v>
      </c>
      <c r="P88" s="492">
        <f t="shared" si="6"/>
        <v>0</v>
      </c>
      <c r="Q88" s="786"/>
      <c r="R88" s="784"/>
      <c r="S88" s="784"/>
      <c r="T88" s="784"/>
      <c r="U88" s="784"/>
      <c r="V88" s="784"/>
      <c r="W88" s="784"/>
      <c r="X88" s="787"/>
      <c r="Y88" s="789"/>
    </row>
    <row r="89" spans="1:25" s="490" customFormat="1" ht="13.5" customHeight="1" x14ac:dyDescent="0.25">
      <c r="A89" s="783">
        <v>81</v>
      </c>
      <c r="B89" s="790" t="s">
        <v>301</v>
      </c>
      <c r="C89" s="503" t="s">
        <v>302</v>
      </c>
      <c r="D89" s="784"/>
      <c r="E89" s="784"/>
      <c r="F89" s="499">
        <v>0</v>
      </c>
      <c r="G89" s="499">
        <f t="shared" si="7"/>
        <v>0</v>
      </c>
      <c r="H89" s="492">
        <v>0</v>
      </c>
      <c r="I89" s="492">
        <v>0</v>
      </c>
      <c r="J89" s="492">
        <v>0</v>
      </c>
      <c r="K89" s="785">
        <v>0</v>
      </c>
      <c r="L89" s="500">
        <v>0</v>
      </c>
      <c r="M89" s="500">
        <v>0</v>
      </c>
      <c r="N89" s="500">
        <v>0</v>
      </c>
      <c r="O89" s="500">
        <v>0</v>
      </c>
      <c r="P89" s="492">
        <f t="shared" si="6"/>
        <v>0</v>
      </c>
      <c r="Q89" s="786">
        <v>270</v>
      </c>
      <c r="R89" s="784">
        <v>550</v>
      </c>
      <c r="S89" s="784">
        <v>290</v>
      </c>
      <c r="T89" s="784">
        <v>290</v>
      </c>
      <c r="U89" s="784">
        <v>450</v>
      </c>
      <c r="V89" s="784">
        <v>1100</v>
      </c>
      <c r="W89" s="784">
        <v>1394</v>
      </c>
      <c r="X89" s="787">
        <v>12</v>
      </c>
      <c r="Y89" s="789">
        <f>SUM(Q89:X89)</f>
        <v>4356</v>
      </c>
    </row>
    <row r="90" spans="1:25" s="490" customFormat="1" ht="13.5" customHeight="1" x14ac:dyDescent="0.25">
      <c r="A90" s="783">
        <v>82</v>
      </c>
      <c r="B90" s="790">
        <v>20163</v>
      </c>
      <c r="C90" s="498" t="s">
        <v>641</v>
      </c>
      <c r="D90" s="784">
        <v>0</v>
      </c>
      <c r="E90" s="784"/>
      <c r="F90" s="499">
        <v>10</v>
      </c>
      <c r="G90" s="499">
        <f t="shared" si="7"/>
        <v>0</v>
      </c>
      <c r="H90" s="492">
        <v>0</v>
      </c>
      <c r="I90" s="492">
        <v>0</v>
      </c>
      <c r="J90" s="492">
        <v>0</v>
      </c>
      <c r="K90" s="785">
        <f t="shared" ref="K90:K95" si="8">D90+E90+F90+G90</f>
        <v>10</v>
      </c>
      <c r="L90" s="500">
        <v>0</v>
      </c>
      <c r="M90" s="500">
        <v>0</v>
      </c>
      <c r="N90" s="500">
        <v>0</v>
      </c>
      <c r="O90" s="500">
        <v>0</v>
      </c>
      <c r="P90" s="492">
        <f t="shared" si="6"/>
        <v>0</v>
      </c>
      <c r="Q90" s="786"/>
      <c r="R90" s="784"/>
      <c r="S90" s="784"/>
      <c r="T90" s="784"/>
      <c r="U90" s="784"/>
      <c r="V90" s="784"/>
      <c r="W90" s="784"/>
      <c r="X90" s="787"/>
      <c r="Y90" s="789"/>
    </row>
    <row r="91" spans="1:25" s="490" customFormat="1" ht="13.5" customHeight="1" x14ac:dyDescent="0.25">
      <c r="A91" s="783">
        <v>83</v>
      </c>
      <c r="B91" s="790" t="s">
        <v>169</v>
      </c>
      <c r="C91" s="498" t="s">
        <v>170</v>
      </c>
      <c r="D91" s="784">
        <v>424</v>
      </c>
      <c r="E91" s="784"/>
      <c r="F91" s="499">
        <v>54</v>
      </c>
      <c r="G91" s="499">
        <f t="shared" si="7"/>
        <v>0</v>
      </c>
      <c r="H91" s="492">
        <v>0</v>
      </c>
      <c r="I91" s="492">
        <v>0</v>
      </c>
      <c r="J91" s="492">
        <v>0</v>
      </c>
      <c r="K91" s="785">
        <f t="shared" si="8"/>
        <v>478</v>
      </c>
      <c r="L91" s="500">
        <v>5</v>
      </c>
      <c r="M91" s="500">
        <v>38</v>
      </c>
      <c r="N91" s="500">
        <v>95</v>
      </c>
      <c r="O91" s="500">
        <v>64</v>
      </c>
      <c r="P91" s="492">
        <f t="shared" si="6"/>
        <v>202</v>
      </c>
      <c r="Q91" s="786"/>
      <c r="R91" s="784"/>
      <c r="S91" s="784"/>
      <c r="T91" s="784"/>
      <c r="U91" s="784"/>
      <c r="V91" s="784"/>
      <c r="W91" s="784"/>
      <c r="X91" s="787"/>
      <c r="Y91" s="789"/>
    </row>
    <row r="92" spans="1:25" s="490" customFormat="1" ht="13.5" customHeight="1" x14ac:dyDescent="0.25">
      <c r="A92" s="783">
        <v>84</v>
      </c>
      <c r="B92" s="790" t="s">
        <v>235</v>
      </c>
      <c r="C92" s="498" t="s">
        <v>236</v>
      </c>
      <c r="D92" s="784">
        <v>132</v>
      </c>
      <c r="E92" s="784"/>
      <c r="F92" s="499">
        <v>0</v>
      </c>
      <c r="G92" s="499">
        <f t="shared" si="7"/>
        <v>0</v>
      </c>
      <c r="H92" s="492">
        <v>0</v>
      </c>
      <c r="I92" s="492">
        <v>0</v>
      </c>
      <c r="J92" s="492">
        <v>0</v>
      </c>
      <c r="K92" s="785">
        <f t="shared" si="8"/>
        <v>132</v>
      </c>
      <c r="L92" s="500">
        <v>0</v>
      </c>
      <c r="M92" s="500">
        <v>0</v>
      </c>
      <c r="N92" s="500">
        <v>0</v>
      </c>
      <c r="O92" s="500">
        <v>0</v>
      </c>
      <c r="P92" s="492">
        <f t="shared" si="6"/>
        <v>0</v>
      </c>
      <c r="Q92" s="786"/>
      <c r="R92" s="784"/>
      <c r="S92" s="784"/>
      <c r="T92" s="784"/>
      <c r="U92" s="784"/>
      <c r="V92" s="784"/>
      <c r="W92" s="784"/>
      <c r="X92" s="787"/>
      <c r="Y92" s="789"/>
    </row>
    <row r="93" spans="1:25" s="490" customFormat="1" ht="21" customHeight="1" x14ac:dyDescent="0.25">
      <c r="A93" s="783">
        <v>85</v>
      </c>
      <c r="B93" s="793" t="s">
        <v>228</v>
      </c>
      <c r="C93" s="498" t="s">
        <v>573</v>
      </c>
      <c r="D93" s="784">
        <v>164</v>
      </c>
      <c r="E93" s="784">
        <v>7</v>
      </c>
      <c r="F93" s="499">
        <v>21</v>
      </c>
      <c r="G93" s="499">
        <f t="shared" si="7"/>
        <v>0</v>
      </c>
      <c r="H93" s="492">
        <v>0</v>
      </c>
      <c r="I93" s="492">
        <v>0</v>
      </c>
      <c r="J93" s="492">
        <v>0</v>
      </c>
      <c r="K93" s="785">
        <f t="shared" si="8"/>
        <v>192</v>
      </c>
      <c r="L93" s="500">
        <v>0</v>
      </c>
      <c r="M93" s="500">
        <v>0</v>
      </c>
      <c r="N93" s="500">
        <v>0</v>
      </c>
      <c r="O93" s="500">
        <v>0</v>
      </c>
      <c r="P93" s="492">
        <f t="shared" si="6"/>
        <v>0</v>
      </c>
      <c r="Q93" s="786"/>
      <c r="R93" s="784"/>
      <c r="S93" s="784"/>
      <c r="T93" s="784"/>
      <c r="U93" s="784"/>
      <c r="V93" s="784"/>
      <c r="W93" s="784"/>
      <c r="X93" s="787"/>
      <c r="Y93" s="789"/>
    </row>
    <row r="94" spans="1:25" s="490" customFormat="1" ht="13.5" customHeight="1" x14ac:dyDescent="0.25">
      <c r="A94" s="783">
        <v>86</v>
      </c>
      <c r="B94" s="790" t="s">
        <v>143</v>
      </c>
      <c r="C94" s="498" t="s">
        <v>144</v>
      </c>
      <c r="D94" s="784">
        <v>275</v>
      </c>
      <c r="E94" s="784"/>
      <c r="F94" s="499">
        <v>35</v>
      </c>
      <c r="G94" s="499">
        <f t="shared" si="7"/>
        <v>0</v>
      </c>
      <c r="H94" s="492">
        <v>0</v>
      </c>
      <c r="I94" s="492">
        <v>0</v>
      </c>
      <c r="J94" s="492">
        <v>0</v>
      </c>
      <c r="K94" s="785">
        <f t="shared" si="8"/>
        <v>310</v>
      </c>
      <c r="L94" s="500">
        <v>0</v>
      </c>
      <c r="M94" s="500">
        <v>0</v>
      </c>
      <c r="N94" s="500">
        <v>0</v>
      </c>
      <c r="O94" s="500">
        <v>0</v>
      </c>
      <c r="P94" s="492">
        <f t="shared" si="6"/>
        <v>0</v>
      </c>
      <c r="Q94" s="786"/>
      <c r="R94" s="784"/>
      <c r="S94" s="784"/>
      <c r="T94" s="784"/>
      <c r="U94" s="784"/>
      <c r="V94" s="784"/>
      <c r="W94" s="784"/>
      <c r="X94" s="787"/>
      <c r="Y94" s="789"/>
    </row>
    <row r="95" spans="1:25" s="490" customFormat="1" ht="13.5" customHeight="1" x14ac:dyDescent="0.25">
      <c r="A95" s="783">
        <v>87</v>
      </c>
      <c r="B95" s="790" t="s">
        <v>74</v>
      </c>
      <c r="C95" s="498" t="s">
        <v>237</v>
      </c>
      <c r="D95" s="784">
        <v>2674</v>
      </c>
      <c r="E95" s="784">
        <v>13</v>
      </c>
      <c r="F95" s="499">
        <v>116</v>
      </c>
      <c r="G95" s="499">
        <f t="shared" si="7"/>
        <v>356</v>
      </c>
      <c r="H95" s="492">
        <v>272</v>
      </c>
      <c r="I95" s="492">
        <v>34</v>
      </c>
      <c r="J95" s="492">
        <v>50</v>
      </c>
      <c r="K95" s="785">
        <f t="shared" si="8"/>
        <v>3159</v>
      </c>
      <c r="L95" s="500">
        <v>0</v>
      </c>
      <c r="M95" s="500">
        <v>0</v>
      </c>
      <c r="N95" s="500">
        <v>0</v>
      </c>
      <c r="O95" s="500">
        <v>0</v>
      </c>
      <c r="P95" s="492">
        <f t="shared" si="6"/>
        <v>0</v>
      </c>
      <c r="Q95" s="786"/>
      <c r="R95" s="784"/>
      <c r="S95" s="784"/>
      <c r="T95" s="784"/>
      <c r="U95" s="784"/>
      <c r="V95" s="784"/>
      <c r="W95" s="784"/>
      <c r="X95" s="787"/>
      <c r="Y95" s="789"/>
    </row>
    <row r="96" spans="1:25" s="490" customFormat="1" ht="13.5" customHeight="1" x14ac:dyDescent="0.25">
      <c r="A96" s="504"/>
      <c r="B96" s="504"/>
      <c r="C96" s="505"/>
      <c r="D96" s="504"/>
      <c r="E96" s="504"/>
      <c r="F96" s="506"/>
      <c r="G96" s="506"/>
      <c r="H96" s="504"/>
      <c r="I96" s="504"/>
      <c r="J96" s="504"/>
      <c r="K96" s="504"/>
      <c r="L96" s="504"/>
      <c r="M96" s="504"/>
      <c r="N96" s="504"/>
      <c r="O96" s="507"/>
      <c r="P96" s="504"/>
      <c r="Q96" s="504"/>
      <c r="R96" s="504"/>
      <c r="S96" s="504"/>
      <c r="T96" s="504"/>
      <c r="U96" s="504"/>
      <c r="V96" s="504"/>
      <c r="W96" s="504"/>
      <c r="X96" s="504"/>
      <c r="Y96" s="504"/>
    </row>
    <row r="97" spans="1:25" s="490" customFormat="1" ht="13.5" customHeight="1" x14ac:dyDescent="0.25">
      <c r="A97" s="508"/>
      <c r="B97" s="508"/>
      <c r="C97" s="487"/>
      <c r="D97" s="504"/>
      <c r="E97" s="504"/>
      <c r="F97" s="504"/>
      <c r="G97" s="504"/>
      <c r="H97" s="504"/>
      <c r="I97" s="504"/>
      <c r="J97" s="504"/>
      <c r="K97" s="504"/>
      <c r="L97" s="508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508"/>
      <c r="Y97" s="508"/>
    </row>
    <row r="98" spans="1:25" s="508" customFormat="1" x14ac:dyDescent="0.25">
      <c r="C98" s="487"/>
      <c r="F98" s="509"/>
      <c r="G98" s="509"/>
    </row>
    <row r="99" spans="1:25" s="508" customFormat="1" x14ac:dyDescent="0.25">
      <c r="C99" s="487"/>
      <c r="F99" s="509"/>
      <c r="G99" s="509"/>
    </row>
    <row r="100" spans="1:25" s="508" customFormat="1" x14ac:dyDescent="0.25">
      <c r="C100" s="487"/>
      <c r="F100" s="509"/>
      <c r="G100" s="509"/>
    </row>
    <row r="101" spans="1:25" s="508" customFormat="1" x14ac:dyDescent="0.25">
      <c r="C101" s="487"/>
      <c r="F101" s="509"/>
      <c r="G101" s="509"/>
    </row>
    <row r="102" spans="1:25" s="508" customFormat="1" x14ac:dyDescent="0.25">
      <c r="C102" s="487"/>
      <c r="F102" s="509"/>
      <c r="G102" s="509"/>
    </row>
    <row r="103" spans="1:25" s="508" customFormat="1" x14ac:dyDescent="0.25">
      <c r="C103" s="487"/>
      <c r="F103" s="509"/>
      <c r="G103" s="509"/>
    </row>
    <row r="104" spans="1:25" s="508" customFormat="1" x14ac:dyDescent="0.25">
      <c r="C104" s="487"/>
      <c r="F104" s="509"/>
      <c r="G104" s="509"/>
    </row>
    <row r="105" spans="1:25" s="508" customFormat="1" x14ac:dyDescent="0.25">
      <c r="C105" s="487"/>
      <c r="F105" s="509"/>
      <c r="G105" s="509"/>
    </row>
    <row r="106" spans="1:25" s="508" customFormat="1" x14ac:dyDescent="0.25">
      <c r="C106" s="487"/>
      <c r="F106" s="509"/>
      <c r="G106" s="509"/>
    </row>
    <row r="107" spans="1:25" s="508" customFormat="1" x14ac:dyDescent="0.25">
      <c r="C107" s="487"/>
      <c r="F107" s="509"/>
      <c r="G107" s="509"/>
    </row>
    <row r="108" spans="1:25" s="508" customFormat="1" x14ac:dyDescent="0.25">
      <c r="C108" s="487"/>
      <c r="F108" s="509"/>
      <c r="G108" s="509"/>
    </row>
    <row r="109" spans="1:25" s="508" customFormat="1" x14ac:dyDescent="0.25">
      <c r="C109" s="487"/>
      <c r="F109" s="509"/>
      <c r="G109" s="509"/>
    </row>
    <row r="110" spans="1:25" s="508" customFormat="1" x14ac:dyDescent="0.25">
      <c r="C110" s="487"/>
      <c r="F110" s="509"/>
      <c r="G110" s="509"/>
    </row>
    <row r="111" spans="1:25" s="508" customFormat="1" x14ac:dyDescent="0.25">
      <c r="C111" s="487"/>
      <c r="F111" s="509"/>
      <c r="G111" s="509"/>
    </row>
    <row r="112" spans="1:25" s="508" customFormat="1" x14ac:dyDescent="0.25">
      <c r="C112" s="487"/>
      <c r="F112" s="509"/>
      <c r="G112" s="509"/>
    </row>
    <row r="113" spans="3:7" s="508" customFormat="1" x14ac:dyDescent="0.25">
      <c r="C113" s="487"/>
      <c r="F113" s="509"/>
      <c r="G113" s="509"/>
    </row>
    <row r="114" spans="3:7" s="508" customFormat="1" x14ac:dyDescent="0.25">
      <c r="C114" s="487"/>
      <c r="F114" s="509"/>
      <c r="G114" s="509"/>
    </row>
    <row r="115" spans="3:7" s="508" customFormat="1" x14ac:dyDescent="0.25">
      <c r="C115" s="487"/>
      <c r="F115" s="509"/>
      <c r="G115" s="509"/>
    </row>
    <row r="116" spans="3:7" s="508" customFormat="1" x14ac:dyDescent="0.25">
      <c r="C116" s="487"/>
      <c r="F116" s="509"/>
      <c r="G116" s="509"/>
    </row>
    <row r="117" spans="3:7" s="508" customFormat="1" x14ac:dyDescent="0.25">
      <c r="C117" s="487"/>
      <c r="F117" s="509"/>
      <c r="G117" s="509"/>
    </row>
    <row r="118" spans="3:7" s="508" customFormat="1" x14ac:dyDescent="0.25">
      <c r="C118" s="487"/>
      <c r="F118" s="509"/>
      <c r="G118" s="509"/>
    </row>
    <row r="119" spans="3:7" s="508" customFormat="1" x14ac:dyDescent="0.25">
      <c r="C119" s="487"/>
      <c r="F119" s="509"/>
      <c r="G119" s="509"/>
    </row>
    <row r="120" spans="3:7" s="508" customFormat="1" x14ac:dyDescent="0.25">
      <c r="C120" s="487"/>
      <c r="F120" s="509"/>
      <c r="G120" s="509"/>
    </row>
    <row r="121" spans="3:7" s="508" customFormat="1" x14ac:dyDescent="0.25">
      <c r="C121" s="487"/>
      <c r="F121" s="509"/>
      <c r="G121" s="509"/>
    </row>
    <row r="122" spans="3:7" s="508" customFormat="1" x14ac:dyDescent="0.25">
      <c r="C122" s="487"/>
      <c r="F122" s="509"/>
      <c r="G122" s="509"/>
    </row>
    <row r="123" spans="3:7" s="508" customFormat="1" x14ac:dyDescent="0.25">
      <c r="C123" s="487"/>
      <c r="F123" s="509"/>
      <c r="G123" s="509"/>
    </row>
    <row r="124" spans="3:7" s="508" customFormat="1" x14ac:dyDescent="0.25">
      <c r="C124" s="487"/>
      <c r="F124" s="509"/>
      <c r="G124" s="509"/>
    </row>
    <row r="125" spans="3:7" s="508" customFormat="1" x14ac:dyDescent="0.25">
      <c r="C125" s="487"/>
      <c r="F125" s="509"/>
      <c r="G125" s="509"/>
    </row>
    <row r="126" spans="3:7" s="508" customFormat="1" x14ac:dyDescent="0.25">
      <c r="C126" s="487"/>
      <c r="F126" s="509"/>
      <c r="G126" s="509"/>
    </row>
    <row r="127" spans="3:7" s="508" customFormat="1" x14ac:dyDescent="0.25">
      <c r="C127" s="487"/>
      <c r="F127" s="509"/>
      <c r="G127" s="509"/>
    </row>
    <row r="128" spans="3:7" s="508" customFormat="1" x14ac:dyDescent="0.25">
      <c r="C128" s="487"/>
      <c r="F128" s="509"/>
      <c r="G128" s="509"/>
    </row>
    <row r="129" spans="3:7" s="508" customFormat="1" x14ac:dyDescent="0.25">
      <c r="C129" s="487"/>
      <c r="F129" s="509"/>
      <c r="G129" s="509"/>
    </row>
    <row r="130" spans="3:7" s="508" customFormat="1" x14ac:dyDescent="0.25">
      <c r="C130" s="487"/>
      <c r="F130" s="509"/>
      <c r="G130" s="509"/>
    </row>
    <row r="131" spans="3:7" s="508" customFormat="1" x14ac:dyDescent="0.25">
      <c r="C131" s="487"/>
      <c r="F131" s="509"/>
      <c r="G131" s="509"/>
    </row>
    <row r="132" spans="3:7" s="508" customFormat="1" x14ac:dyDescent="0.25">
      <c r="C132" s="487"/>
      <c r="F132" s="509"/>
      <c r="G132" s="509"/>
    </row>
    <row r="133" spans="3:7" s="508" customFormat="1" x14ac:dyDescent="0.25">
      <c r="C133" s="487"/>
      <c r="F133" s="509"/>
      <c r="G133" s="509"/>
    </row>
    <row r="134" spans="3:7" s="508" customFormat="1" x14ac:dyDescent="0.25">
      <c r="C134" s="487"/>
      <c r="F134" s="509"/>
      <c r="G134" s="509"/>
    </row>
    <row r="135" spans="3:7" s="508" customFormat="1" x14ac:dyDescent="0.25">
      <c r="C135" s="487"/>
      <c r="F135" s="509"/>
      <c r="G135" s="509"/>
    </row>
    <row r="136" spans="3:7" s="508" customFormat="1" x14ac:dyDescent="0.25">
      <c r="C136" s="487"/>
      <c r="F136" s="509"/>
      <c r="G136" s="509"/>
    </row>
    <row r="137" spans="3:7" s="508" customFormat="1" x14ac:dyDescent="0.25">
      <c r="C137" s="487"/>
      <c r="F137" s="509"/>
      <c r="G137" s="509"/>
    </row>
    <row r="138" spans="3:7" s="508" customFormat="1" x14ac:dyDescent="0.25">
      <c r="C138" s="487"/>
      <c r="F138" s="509"/>
      <c r="G138" s="509"/>
    </row>
    <row r="139" spans="3:7" s="508" customFormat="1" x14ac:dyDescent="0.25">
      <c r="C139" s="487"/>
      <c r="F139" s="509"/>
      <c r="G139" s="509"/>
    </row>
    <row r="140" spans="3:7" s="508" customFormat="1" x14ac:dyDescent="0.25">
      <c r="C140" s="487"/>
      <c r="F140" s="509"/>
      <c r="G140" s="509"/>
    </row>
    <row r="141" spans="3:7" s="508" customFormat="1" x14ac:dyDescent="0.25">
      <c r="C141" s="487"/>
      <c r="F141" s="509"/>
      <c r="G141" s="509"/>
    </row>
    <row r="142" spans="3:7" s="508" customFormat="1" x14ac:dyDescent="0.25">
      <c r="C142" s="487"/>
      <c r="F142" s="509"/>
      <c r="G142" s="509"/>
    </row>
    <row r="143" spans="3:7" s="508" customFormat="1" x14ac:dyDescent="0.25">
      <c r="C143" s="487"/>
      <c r="F143" s="509"/>
      <c r="G143" s="509"/>
    </row>
    <row r="144" spans="3:7" s="508" customFormat="1" x14ac:dyDescent="0.25">
      <c r="C144" s="487"/>
      <c r="F144" s="509"/>
      <c r="G144" s="509"/>
    </row>
    <row r="145" spans="3:7" s="508" customFormat="1" x14ac:dyDescent="0.25">
      <c r="C145" s="487"/>
      <c r="F145" s="509"/>
      <c r="G145" s="509"/>
    </row>
    <row r="146" spans="3:7" s="508" customFormat="1" x14ac:dyDescent="0.25">
      <c r="C146" s="487"/>
      <c r="F146" s="509"/>
      <c r="G146" s="509"/>
    </row>
    <row r="147" spans="3:7" s="508" customFormat="1" x14ac:dyDescent="0.25">
      <c r="C147" s="487"/>
      <c r="F147" s="509"/>
      <c r="G147" s="509"/>
    </row>
    <row r="148" spans="3:7" s="508" customFormat="1" x14ac:dyDescent="0.25">
      <c r="C148" s="487"/>
      <c r="F148" s="509"/>
      <c r="G148" s="509"/>
    </row>
    <row r="149" spans="3:7" s="508" customFormat="1" x14ac:dyDescent="0.25">
      <c r="C149" s="487"/>
      <c r="F149" s="509"/>
      <c r="G149" s="509"/>
    </row>
    <row r="150" spans="3:7" s="508" customFormat="1" x14ac:dyDescent="0.25">
      <c r="C150" s="487"/>
      <c r="F150" s="509"/>
      <c r="G150" s="509"/>
    </row>
    <row r="151" spans="3:7" s="508" customFormat="1" x14ac:dyDescent="0.25">
      <c r="C151" s="487"/>
      <c r="F151" s="509"/>
      <c r="G151" s="509"/>
    </row>
    <row r="152" spans="3:7" s="508" customFormat="1" x14ac:dyDescent="0.25">
      <c r="C152" s="487"/>
      <c r="F152" s="509"/>
      <c r="G152" s="509"/>
    </row>
    <row r="153" spans="3:7" s="508" customFormat="1" x14ac:dyDescent="0.25">
      <c r="C153" s="487"/>
      <c r="F153" s="509"/>
      <c r="G153" s="509"/>
    </row>
    <row r="154" spans="3:7" s="508" customFormat="1" x14ac:dyDescent="0.25">
      <c r="C154" s="487"/>
      <c r="F154" s="509"/>
      <c r="G154" s="509"/>
    </row>
    <row r="155" spans="3:7" s="508" customFormat="1" x14ac:dyDescent="0.25">
      <c r="C155" s="487"/>
      <c r="F155" s="509"/>
      <c r="G155" s="509"/>
    </row>
    <row r="156" spans="3:7" s="508" customFormat="1" x14ac:dyDescent="0.25">
      <c r="C156" s="487"/>
      <c r="F156" s="509"/>
      <c r="G156" s="509"/>
    </row>
    <row r="157" spans="3:7" s="508" customFormat="1" x14ac:dyDescent="0.25">
      <c r="C157" s="487"/>
      <c r="F157" s="509"/>
      <c r="G157" s="509"/>
    </row>
    <row r="158" spans="3:7" s="508" customFormat="1" x14ac:dyDescent="0.25">
      <c r="C158" s="487"/>
      <c r="F158" s="509"/>
      <c r="G158" s="509"/>
    </row>
    <row r="159" spans="3:7" s="508" customFormat="1" x14ac:dyDescent="0.25">
      <c r="C159" s="487"/>
      <c r="F159" s="509"/>
      <c r="G159" s="509"/>
    </row>
    <row r="160" spans="3:7" s="508" customFormat="1" x14ac:dyDescent="0.25">
      <c r="C160" s="487"/>
      <c r="F160" s="509"/>
      <c r="G160" s="509"/>
    </row>
    <row r="161" spans="3:7" s="508" customFormat="1" x14ac:dyDescent="0.25">
      <c r="C161" s="487"/>
      <c r="F161" s="509"/>
      <c r="G161" s="509"/>
    </row>
    <row r="162" spans="3:7" s="508" customFormat="1" x14ac:dyDescent="0.25">
      <c r="C162" s="487"/>
      <c r="F162" s="509"/>
      <c r="G162" s="509"/>
    </row>
    <row r="163" spans="3:7" s="508" customFormat="1" x14ac:dyDescent="0.25">
      <c r="C163" s="487"/>
      <c r="F163" s="509"/>
      <c r="G163" s="509"/>
    </row>
    <row r="164" spans="3:7" s="508" customFormat="1" x14ac:dyDescent="0.25">
      <c r="C164" s="487"/>
      <c r="F164" s="509"/>
      <c r="G164" s="509"/>
    </row>
    <row r="165" spans="3:7" s="508" customFormat="1" x14ac:dyDescent="0.25">
      <c r="C165" s="487"/>
      <c r="F165" s="509"/>
      <c r="G165" s="509"/>
    </row>
    <row r="166" spans="3:7" s="508" customFormat="1" x14ac:dyDescent="0.25">
      <c r="C166" s="487"/>
      <c r="F166" s="509"/>
      <c r="G166" s="509"/>
    </row>
    <row r="167" spans="3:7" s="508" customFormat="1" x14ac:dyDescent="0.25">
      <c r="C167" s="487"/>
      <c r="F167" s="509"/>
      <c r="G167" s="509"/>
    </row>
    <row r="168" spans="3:7" s="508" customFormat="1" x14ac:dyDescent="0.25">
      <c r="C168" s="487"/>
      <c r="F168" s="509"/>
      <c r="G168" s="509"/>
    </row>
    <row r="169" spans="3:7" s="508" customFormat="1" x14ac:dyDescent="0.25">
      <c r="C169" s="487"/>
      <c r="F169" s="509"/>
      <c r="G169" s="509"/>
    </row>
    <row r="170" spans="3:7" s="508" customFormat="1" x14ac:dyDescent="0.25">
      <c r="C170" s="487"/>
      <c r="F170" s="509"/>
      <c r="G170" s="509"/>
    </row>
    <row r="171" spans="3:7" s="508" customFormat="1" x14ac:dyDescent="0.25">
      <c r="C171" s="487"/>
      <c r="F171" s="509"/>
      <c r="G171" s="509"/>
    </row>
    <row r="172" spans="3:7" s="508" customFormat="1" x14ac:dyDescent="0.25">
      <c r="C172" s="487"/>
      <c r="F172" s="509"/>
      <c r="G172" s="509"/>
    </row>
    <row r="173" spans="3:7" s="508" customFormat="1" x14ac:dyDescent="0.25">
      <c r="C173" s="487"/>
      <c r="F173" s="509"/>
      <c r="G173" s="509"/>
    </row>
    <row r="174" spans="3:7" s="508" customFormat="1" x14ac:dyDescent="0.25">
      <c r="C174" s="487"/>
      <c r="F174" s="509"/>
      <c r="G174" s="509"/>
    </row>
    <row r="175" spans="3:7" s="508" customFormat="1" x14ac:dyDescent="0.25">
      <c r="C175" s="487"/>
      <c r="F175" s="509"/>
      <c r="G175" s="509"/>
    </row>
    <row r="176" spans="3:7" s="508" customFormat="1" x14ac:dyDescent="0.25">
      <c r="C176" s="487"/>
      <c r="F176" s="509"/>
      <c r="G176" s="509"/>
    </row>
    <row r="177" spans="3:7" s="508" customFormat="1" x14ac:dyDescent="0.25">
      <c r="C177" s="487"/>
      <c r="F177" s="509"/>
      <c r="G177" s="509"/>
    </row>
    <row r="178" spans="3:7" s="508" customFormat="1" x14ac:dyDescent="0.25">
      <c r="C178" s="487"/>
      <c r="F178" s="509"/>
      <c r="G178" s="509"/>
    </row>
    <row r="179" spans="3:7" s="508" customFormat="1" x14ac:dyDescent="0.25">
      <c r="C179" s="487"/>
      <c r="F179" s="509"/>
      <c r="G179" s="509"/>
    </row>
    <row r="180" spans="3:7" s="508" customFormat="1" x14ac:dyDescent="0.25">
      <c r="C180" s="487"/>
      <c r="F180" s="509"/>
      <c r="G180" s="509"/>
    </row>
    <row r="181" spans="3:7" s="508" customFormat="1" x14ac:dyDescent="0.25">
      <c r="C181" s="487"/>
      <c r="F181" s="509"/>
      <c r="G181" s="509"/>
    </row>
    <row r="182" spans="3:7" s="508" customFormat="1" x14ac:dyDescent="0.25">
      <c r="C182" s="487"/>
      <c r="F182" s="509"/>
      <c r="G182" s="509"/>
    </row>
    <row r="183" spans="3:7" s="508" customFormat="1" x14ac:dyDescent="0.25">
      <c r="C183" s="487"/>
      <c r="F183" s="509"/>
      <c r="G183" s="509"/>
    </row>
    <row r="184" spans="3:7" s="508" customFormat="1" x14ac:dyDescent="0.25">
      <c r="C184" s="487"/>
      <c r="F184" s="509"/>
      <c r="G184" s="509"/>
    </row>
    <row r="185" spans="3:7" s="508" customFormat="1" x14ac:dyDescent="0.25">
      <c r="C185" s="487"/>
      <c r="F185" s="509"/>
      <c r="G185" s="509"/>
    </row>
    <row r="186" spans="3:7" s="508" customFormat="1" x14ac:dyDescent="0.25">
      <c r="C186" s="487"/>
      <c r="F186" s="509"/>
      <c r="G186" s="509"/>
    </row>
    <row r="187" spans="3:7" s="508" customFormat="1" x14ac:dyDescent="0.25">
      <c r="C187" s="487"/>
      <c r="F187" s="509"/>
      <c r="G187" s="509"/>
    </row>
    <row r="188" spans="3:7" s="508" customFormat="1" x14ac:dyDescent="0.25">
      <c r="C188" s="487"/>
      <c r="F188" s="509"/>
      <c r="G188" s="509"/>
    </row>
    <row r="189" spans="3:7" s="508" customFormat="1" x14ac:dyDescent="0.25">
      <c r="C189" s="487"/>
      <c r="F189" s="509"/>
      <c r="G189" s="509"/>
    </row>
    <row r="190" spans="3:7" s="508" customFormat="1" x14ac:dyDescent="0.25">
      <c r="C190" s="487"/>
      <c r="F190" s="509"/>
      <c r="G190" s="509"/>
    </row>
    <row r="191" spans="3:7" s="508" customFormat="1" x14ac:dyDescent="0.25">
      <c r="C191" s="487"/>
      <c r="F191" s="509"/>
      <c r="G191" s="509"/>
    </row>
    <row r="192" spans="3:7" s="508" customFormat="1" x14ac:dyDescent="0.25">
      <c r="C192" s="487"/>
      <c r="F192" s="509"/>
      <c r="G192" s="509"/>
    </row>
    <row r="193" spans="3:7" s="508" customFormat="1" x14ac:dyDescent="0.25">
      <c r="C193" s="487"/>
      <c r="F193" s="509"/>
      <c r="G193" s="509"/>
    </row>
    <row r="194" spans="3:7" s="508" customFormat="1" x14ac:dyDescent="0.25">
      <c r="C194" s="487"/>
      <c r="F194" s="509"/>
      <c r="G194" s="509"/>
    </row>
    <row r="195" spans="3:7" s="508" customFormat="1" x14ac:dyDescent="0.25">
      <c r="C195" s="487"/>
      <c r="F195" s="509"/>
      <c r="G195" s="509"/>
    </row>
    <row r="196" spans="3:7" s="508" customFormat="1" x14ac:dyDescent="0.25">
      <c r="C196" s="487"/>
      <c r="F196" s="509"/>
      <c r="G196" s="509"/>
    </row>
    <row r="197" spans="3:7" s="508" customFormat="1" x14ac:dyDescent="0.25">
      <c r="C197" s="487"/>
      <c r="F197" s="509"/>
      <c r="G197" s="509"/>
    </row>
    <row r="198" spans="3:7" s="508" customFormat="1" x14ac:dyDescent="0.25">
      <c r="C198" s="487"/>
      <c r="F198" s="509"/>
      <c r="G198" s="509"/>
    </row>
    <row r="199" spans="3:7" s="508" customFormat="1" x14ac:dyDescent="0.25">
      <c r="C199" s="487"/>
      <c r="F199" s="509"/>
      <c r="G199" s="509"/>
    </row>
    <row r="200" spans="3:7" s="508" customFormat="1" x14ac:dyDescent="0.25">
      <c r="C200" s="487"/>
      <c r="F200" s="509"/>
      <c r="G200" s="509"/>
    </row>
    <row r="201" spans="3:7" s="508" customFormat="1" x14ac:dyDescent="0.25">
      <c r="C201" s="487"/>
      <c r="F201" s="509"/>
      <c r="G201" s="509"/>
    </row>
    <row r="202" spans="3:7" s="508" customFormat="1" x14ac:dyDescent="0.25">
      <c r="C202" s="487"/>
      <c r="F202" s="509"/>
      <c r="G202" s="509"/>
    </row>
    <row r="203" spans="3:7" s="508" customFormat="1" x14ac:dyDescent="0.25">
      <c r="C203" s="487"/>
      <c r="F203" s="509"/>
      <c r="G203" s="509"/>
    </row>
    <row r="204" spans="3:7" s="508" customFormat="1" x14ac:dyDescent="0.25">
      <c r="C204" s="487"/>
      <c r="F204" s="509"/>
      <c r="G204" s="509"/>
    </row>
    <row r="205" spans="3:7" s="508" customFormat="1" x14ac:dyDescent="0.25">
      <c r="C205" s="487"/>
      <c r="F205" s="509"/>
      <c r="G205" s="509"/>
    </row>
    <row r="206" spans="3:7" s="508" customFormat="1" x14ac:dyDescent="0.25">
      <c r="C206" s="487"/>
      <c r="F206" s="509"/>
      <c r="G206" s="509"/>
    </row>
    <row r="207" spans="3:7" s="508" customFormat="1" x14ac:dyDescent="0.25">
      <c r="C207" s="487"/>
      <c r="F207" s="509"/>
      <c r="G207" s="509"/>
    </row>
    <row r="208" spans="3:7" s="508" customFormat="1" x14ac:dyDescent="0.25">
      <c r="C208" s="487"/>
      <c r="F208" s="509"/>
      <c r="G208" s="509"/>
    </row>
    <row r="209" spans="3:7" s="508" customFormat="1" x14ac:dyDescent="0.25">
      <c r="C209" s="487"/>
      <c r="F209" s="509"/>
      <c r="G209" s="509"/>
    </row>
    <row r="210" spans="3:7" s="508" customFormat="1" x14ac:dyDescent="0.25">
      <c r="C210" s="487"/>
      <c r="F210" s="509"/>
      <c r="G210" s="509"/>
    </row>
    <row r="211" spans="3:7" s="508" customFormat="1" x14ac:dyDescent="0.25">
      <c r="C211" s="487"/>
      <c r="F211" s="509"/>
      <c r="G211" s="509"/>
    </row>
    <row r="212" spans="3:7" s="508" customFormat="1" x14ac:dyDescent="0.25">
      <c r="C212" s="487"/>
      <c r="F212" s="509"/>
      <c r="G212" s="509"/>
    </row>
    <row r="213" spans="3:7" s="508" customFormat="1" x14ac:dyDescent="0.25">
      <c r="C213" s="487"/>
      <c r="F213" s="509"/>
      <c r="G213" s="509"/>
    </row>
    <row r="214" spans="3:7" s="508" customFormat="1" x14ac:dyDescent="0.25">
      <c r="C214" s="487"/>
      <c r="F214" s="509"/>
      <c r="G214" s="509"/>
    </row>
    <row r="215" spans="3:7" s="508" customFormat="1" x14ac:dyDescent="0.25">
      <c r="C215" s="487"/>
      <c r="F215" s="509"/>
      <c r="G215" s="509"/>
    </row>
    <row r="216" spans="3:7" s="508" customFormat="1" x14ac:dyDescent="0.25">
      <c r="C216" s="487"/>
      <c r="F216" s="509"/>
      <c r="G216" s="509"/>
    </row>
    <row r="217" spans="3:7" s="508" customFormat="1" x14ac:dyDescent="0.25">
      <c r="C217" s="487"/>
      <c r="F217" s="509"/>
      <c r="G217" s="509"/>
    </row>
    <row r="218" spans="3:7" s="508" customFormat="1" x14ac:dyDescent="0.25">
      <c r="C218" s="487"/>
      <c r="F218" s="509"/>
      <c r="G218" s="509"/>
    </row>
    <row r="219" spans="3:7" s="508" customFormat="1" x14ac:dyDescent="0.25">
      <c r="C219" s="487"/>
      <c r="F219" s="509"/>
      <c r="G219" s="509"/>
    </row>
    <row r="220" spans="3:7" s="508" customFormat="1" x14ac:dyDescent="0.25">
      <c r="C220" s="487"/>
      <c r="F220" s="509"/>
      <c r="G220" s="509"/>
    </row>
    <row r="221" spans="3:7" s="508" customFormat="1" x14ac:dyDescent="0.25">
      <c r="C221" s="487"/>
      <c r="F221" s="509"/>
      <c r="G221" s="509"/>
    </row>
    <row r="222" spans="3:7" s="508" customFormat="1" x14ac:dyDescent="0.25">
      <c r="C222" s="487"/>
      <c r="F222" s="509"/>
      <c r="G222" s="509"/>
    </row>
    <row r="223" spans="3:7" s="508" customFormat="1" x14ac:dyDescent="0.25">
      <c r="C223" s="487"/>
      <c r="F223" s="509"/>
      <c r="G223" s="509"/>
    </row>
    <row r="224" spans="3:7" s="508" customFormat="1" x14ac:dyDescent="0.25">
      <c r="C224" s="487"/>
      <c r="F224" s="509"/>
      <c r="G224" s="509"/>
    </row>
    <row r="225" spans="1:25" s="508" customFormat="1" x14ac:dyDescent="0.25">
      <c r="C225" s="487"/>
      <c r="F225" s="509"/>
      <c r="G225" s="509"/>
    </row>
    <row r="226" spans="1:25" s="508" customFormat="1" x14ac:dyDescent="0.25">
      <c r="C226" s="487"/>
      <c r="F226" s="509"/>
      <c r="G226" s="509"/>
    </row>
    <row r="227" spans="1:25" s="508" customFormat="1" x14ac:dyDescent="0.25">
      <c r="C227" s="487"/>
      <c r="F227" s="509"/>
      <c r="G227" s="509"/>
    </row>
    <row r="228" spans="1:25" s="508" customFormat="1" x14ac:dyDescent="0.25">
      <c r="C228" s="487"/>
      <c r="F228" s="509"/>
      <c r="G228" s="509"/>
    </row>
    <row r="229" spans="1:25" s="508" customFormat="1" x14ac:dyDescent="0.25">
      <c r="C229" s="487"/>
      <c r="F229" s="509"/>
      <c r="G229" s="509"/>
    </row>
    <row r="230" spans="1:25" s="508" customFormat="1" x14ac:dyDescent="0.25">
      <c r="A230" s="486"/>
      <c r="B230" s="486"/>
      <c r="C230" s="510"/>
      <c r="D230" s="511"/>
      <c r="F230" s="489"/>
      <c r="G230" s="489"/>
      <c r="H230" s="486"/>
      <c r="I230" s="486"/>
      <c r="J230" s="486"/>
      <c r="K230" s="486"/>
      <c r="L230" s="486"/>
      <c r="M230" s="486"/>
      <c r="N230" s="486"/>
      <c r="O230" s="486"/>
      <c r="P230" s="486"/>
      <c r="Q230" s="486"/>
      <c r="R230" s="486"/>
      <c r="S230" s="486"/>
      <c r="T230" s="486"/>
      <c r="U230" s="486"/>
      <c r="V230" s="486"/>
      <c r="W230" s="486"/>
      <c r="X230" s="486"/>
      <c r="Y230" s="486"/>
    </row>
    <row r="231" spans="1:25" s="508" customFormat="1" x14ac:dyDescent="0.25">
      <c r="A231" s="486"/>
      <c r="B231" s="486"/>
      <c r="C231" s="510"/>
      <c r="D231" s="511"/>
      <c r="F231" s="489"/>
      <c r="G231" s="489"/>
      <c r="H231" s="486"/>
      <c r="I231" s="486"/>
      <c r="J231" s="486"/>
      <c r="K231" s="486"/>
      <c r="L231" s="486"/>
      <c r="M231" s="486"/>
      <c r="N231" s="486"/>
      <c r="O231" s="486"/>
      <c r="P231" s="486"/>
      <c r="Q231" s="486"/>
      <c r="R231" s="486"/>
      <c r="S231" s="486"/>
      <c r="T231" s="486"/>
      <c r="U231" s="486"/>
      <c r="V231" s="486"/>
      <c r="W231" s="486"/>
      <c r="X231" s="486"/>
      <c r="Y231" s="486"/>
    </row>
    <row r="232" spans="1:25" s="508" customFormat="1" x14ac:dyDescent="0.25">
      <c r="A232" s="486"/>
      <c r="B232" s="486"/>
      <c r="C232" s="510"/>
      <c r="D232" s="511"/>
      <c r="F232" s="489"/>
      <c r="G232" s="489"/>
      <c r="H232" s="486"/>
      <c r="I232" s="486"/>
      <c r="J232" s="486"/>
      <c r="K232" s="486"/>
      <c r="L232" s="486"/>
      <c r="M232" s="486"/>
      <c r="N232" s="486"/>
      <c r="O232" s="486"/>
      <c r="P232" s="486"/>
      <c r="Q232" s="486"/>
      <c r="R232" s="486"/>
      <c r="S232" s="486"/>
      <c r="T232" s="486"/>
      <c r="U232" s="486"/>
      <c r="V232" s="486"/>
      <c r="W232" s="486"/>
      <c r="X232" s="486"/>
      <c r="Y232" s="486"/>
    </row>
    <row r="233" spans="1:25" s="508" customFormat="1" x14ac:dyDescent="0.25">
      <c r="A233" s="486"/>
      <c r="B233" s="486"/>
      <c r="C233" s="510"/>
      <c r="D233" s="511"/>
      <c r="F233" s="489"/>
      <c r="G233" s="489"/>
      <c r="H233" s="486"/>
      <c r="I233" s="486"/>
      <c r="J233" s="486"/>
      <c r="K233" s="486"/>
      <c r="L233" s="486"/>
      <c r="M233" s="486"/>
      <c r="N233" s="486"/>
      <c r="O233" s="486"/>
      <c r="P233" s="486"/>
      <c r="Q233" s="486"/>
      <c r="R233" s="486"/>
      <c r="S233" s="486"/>
      <c r="T233" s="486"/>
      <c r="U233" s="486"/>
      <c r="V233" s="486"/>
      <c r="W233" s="486"/>
      <c r="X233" s="486"/>
      <c r="Y233" s="486"/>
    </row>
    <row r="234" spans="1:25" s="508" customFormat="1" x14ac:dyDescent="0.25">
      <c r="A234" s="486"/>
      <c r="B234" s="486"/>
      <c r="C234" s="510"/>
      <c r="D234" s="511"/>
      <c r="F234" s="489"/>
      <c r="G234" s="489"/>
      <c r="H234" s="486"/>
      <c r="I234" s="486"/>
      <c r="J234" s="486"/>
      <c r="K234" s="486"/>
      <c r="L234" s="486"/>
      <c r="M234" s="486"/>
      <c r="N234" s="486"/>
      <c r="O234" s="486"/>
      <c r="P234" s="486"/>
      <c r="Q234" s="486"/>
      <c r="R234" s="486"/>
      <c r="S234" s="486"/>
      <c r="T234" s="486"/>
      <c r="U234" s="486"/>
      <c r="V234" s="486"/>
      <c r="W234" s="486"/>
      <c r="X234" s="486"/>
      <c r="Y234" s="486"/>
    </row>
    <row r="235" spans="1:25" s="508" customFormat="1" x14ac:dyDescent="0.25">
      <c r="A235" s="486"/>
      <c r="B235" s="486"/>
      <c r="C235" s="510"/>
      <c r="D235" s="511"/>
      <c r="F235" s="489"/>
      <c r="G235" s="489"/>
      <c r="H235" s="486"/>
      <c r="I235" s="486"/>
      <c r="J235" s="486"/>
      <c r="K235" s="486"/>
      <c r="L235" s="486"/>
      <c r="M235" s="486"/>
      <c r="N235" s="486"/>
      <c r="O235" s="486"/>
      <c r="P235" s="486"/>
      <c r="Q235" s="486"/>
      <c r="R235" s="486"/>
      <c r="S235" s="486"/>
      <c r="T235" s="486"/>
      <c r="U235" s="486"/>
      <c r="V235" s="486"/>
      <c r="W235" s="486"/>
      <c r="X235" s="486"/>
      <c r="Y235" s="486"/>
    </row>
    <row r="236" spans="1:25" s="508" customFormat="1" x14ac:dyDescent="0.25">
      <c r="A236" s="486"/>
      <c r="B236" s="486"/>
      <c r="C236" s="510"/>
      <c r="D236" s="511"/>
      <c r="F236" s="489"/>
      <c r="G236" s="489"/>
      <c r="H236" s="486"/>
      <c r="I236" s="486"/>
      <c r="J236" s="486"/>
      <c r="K236" s="486"/>
      <c r="L236" s="486"/>
      <c r="M236" s="486"/>
      <c r="N236" s="486"/>
      <c r="O236" s="486"/>
      <c r="P236" s="486"/>
      <c r="Q236" s="486"/>
      <c r="R236" s="486"/>
      <c r="S236" s="486"/>
      <c r="T236" s="486"/>
      <c r="U236" s="486"/>
      <c r="V236" s="486"/>
      <c r="W236" s="486"/>
      <c r="X236" s="486"/>
      <c r="Y236" s="486"/>
    </row>
    <row r="237" spans="1:25" s="508" customFormat="1" x14ac:dyDescent="0.25">
      <c r="A237" s="486"/>
      <c r="B237" s="486"/>
      <c r="C237" s="510"/>
      <c r="D237" s="511"/>
      <c r="F237" s="489"/>
      <c r="G237" s="489"/>
      <c r="H237" s="486"/>
      <c r="I237" s="486"/>
      <c r="J237" s="486"/>
      <c r="K237" s="486"/>
      <c r="L237" s="486"/>
      <c r="M237" s="486"/>
      <c r="N237" s="486"/>
      <c r="O237" s="486"/>
      <c r="P237" s="486"/>
      <c r="Q237" s="486"/>
      <c r="R237" s="486"/>
      <c r="S237" s="486"/>
      <c r="T237" s="486"/>
      <c r="U237" s="486"/>
      <c r="V237" s="486"/>
      <c r="W237" s="486"/>
      <c r="X237" s="486"/>
      <c r="Y237" s="486"/>
    </row>
    <row r="238" spans="1:25" s="508" customFormat="1" x14ac:dyDescent="0.25">
      <c r="A238" s="486"/>
      <c r="B238" s="486"/>
      <c r="C238" s="510"/>
      <c r="D238" s="511"/>
      <c r="F238" s="489"/>
      <c r="G238" s="489"/>
      <c r="H238" s="486"/>
      <c r="I238" s="486"/>
      <c r="J238" s="486"/>
      <c r="K238" s="486"/>
      <c r="L238" s="486"/>
      <c r="M238" s="486"/>
      <c r="N238" s="486"/>
      <c r="O238" s="486"/>
      <c r="P238" s="486"/>
      <c r="Q238" s="486"/>
      <c r="R238" s="486"/>
      <c r="S238" s="486"/>
      <c r="T238" s="486"/>
      <c r="U238" s="486"/>
      <c r="V238" s="486"/>
      <c r="W238" s="486"/>
      <c r="X238" s="486"/>
      <c r="Y238" s="486"/>
    </row>
    <row r="239" spans="1:25" s="508" customFormat="1" x14ac:dyDescent="0.25">
      <c r="A239" s="486"/>
      <c r="B239" s="486"/>
      <c r="C239" s="510"/>
      <c r="D239" s="511"/>
      <c r="F239" s="489"/>
      <c r="G239" s="489"/>
      <c r="H239" s="486"/>
      <c r="I239" s="486"/>
      <c r="J239" s="486"/>
      <c r="K239" s="486"/>
      <c r="L239" s="486"/>
      <c r="M239" s="486"/>
      <c r="N239" s="486"/>
      <c r="O239" s="486"/>
      <c r="P239" s="486"/>
      <c r="Q239" s="486"/>
      <c r="R239" s="486"/>
      <c r="S239" s="486"/>
      <c r="T239" s="486"/>
      <c r="U239" s="486"/>
      <c r="V239" s="486"/>
      <c r="W239" s="486"/>
      <c r="X239" s="486"/>
      <c r="Y239" s="486"/>
    </row>
    <row r="240" spans="1:25" s="508" customFormat="1" x14ac:dyDescent="0.25">
      <c r="A240" s="486"/>
      <c r="B240" s="486"/>
      <c r="C240" s="510"/>
      <c r="D240" s="511"/>
      <c r="F240" s="489"/>
      <c r="G240" s="489"/>
      <c r="H240" s="486"/>
      <c r="I240" s="486"/>
      <c r="J240" s="486"/>
      <c r="K240" s="486"/>
      <c r="L240" s="486"/>
      <c r="M240" s="486"/>
      <c r="N240" s="486"/>
      <c r="O240" s="486"/>
      <c r="P240" s="486"/>
      <c r="Q240" s="486"/>
      <c r="R240" s="486"/>
      <c r="S240" s="486"/>
      <c r="T240" s="486"/>
      <c r="U240" s="486"/>
      <c r="V240" s="486"/>
      <c r="W240" s="486"/>
      <c r="X240" s="486"/>
      <c r="Y240" s="486"/>
    </row>
    <row r="241" spans="1:25" s="508" customFormat="1" x14ac:dyDescent="0.25">
      <c r="A241" s="486"/>
      <c r="B241" s="486"/>
      <c r="C241" s="510"/>
      <c r="D241" s="511"/>
      <c r="F241" s="489"/>
      <c r="G241" s="489"/>
      <c r="H241" s="486"/>
      <c r="I241" s="486"/>
      <c r="J241" s="486"/>
      <c r="K241" s="486"/>
      <c r="L241" s="486"/>
      <c r="M241" s="486"/>
      <c r="N241" s="486"/>
      <c r="O241" s="486"/>
      <c r="P241" s="486"/>
      <c r="Q241" s="486"/>
      <c r="R241" s="486"/>
      <c r="S241" s="486"/>
      <c r="T241" s="486"/>
      <c r="U241" s="486"/>
      <c r="V241" s="486"/>
      <c r="W241" s="486"/>
      <c r="X241" s="486"/>
      <c r="Y241" s="486"/>
    </row>
    <row r="242" spans="1:25" s="508" customFormat="1" x14ac:dyDescent="0.25">
      <c r="A242" s="486"/>
      <c r="B242" s="486"/>
      <c r="C242" s="510"/>
      <c r="D242" s="511"/>
      <c r="F242" s="489"/>
      <c r="G242" s="489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</row>
  </sheetData>
  <mergeCells count="27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T4:T5"/>
    <mergeCell ref="G4:G5"/>
    <mergeCell ref="H4:J4"/>
    <mergeCell ref="K4:K5"/>
    <mergeCell ref="L4:L5"/>
    <mergeCell ref="M4:M5"/>
    <mergeCell ref="N4:N5"/>
    <mergeCell ref="O4:O5"/>
    <mergeCell ref="P4:P5"/>
    <mergeCell ref="Q4:Q5"/>
    <mergeCell ref="R4:R5"/>
    <mergeCell ref="Y4:Y5"/>
    <mergeCell ref="S4:S5"/>
    <mergeCell ref="U4:U5"/>
    <mergeCell ref="V4:V5"/>
    <mergeCell ref="W4:W5"/>
    <mergeCell ref="X4:X5"/>
  </mergeCells>
  <printOptions horizontalCentered="1" verticalCentered="1"/>
  <pageMargins left="0" right="0" top="0" bottom="0" header="0.31496062992125984" footer="0.31496062992125984"/>
  <pageSetup paperSize="9" scale="57" fitToWidth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E23"/>
  <sheetViews>
    <sheetView workbookViewId="0">
      <pane ySplit="5" topLeftCell="A6" activePane="bottomLeft" state="frozen"/>
      <selection pane="bottomLeft" activeCell="G33" sqref="G33"/>
    </sheetView>
  </sheetViews>
  <sheetFormatPr defaultRowHeight="12.75" x14ac:dyDescent="0.25"/>
  <cols>
    <col min="1" max="1" width="3.5703125" style="512" customWidth="1"/>
    <col min="2" max="2" width="11.5703125" style="512" customWidth="1"/>
    <col min="3" max="3" width="39.42578125" style="520" customWidth="1"/>
    <col min="4" max="4" width="11.28515625" style="512" customWidth="1"/>
    <col min="5" max="5" width="9.140625" style="512"/>
    <col min="6" max="6" width="17.28515625" style="512" customWidth="1"/>
    <col min="7" max="16384" width="9.140625" style="512"/>
  </cols>
  <sheetData>
    <row r="1" spans="1:5" ht="49.5" customHeight="1" thickBot="1" x14ac:dyDescent="0.3">
      <c r="A1" s="1322" t="s">
        <v>642</v>
      </c>
      <c r="B1" s="1322"/>
      <c r="C1" s="1322"/>
      <c r="D1" s="1322"/>
    </row>
    <row r="2" spans="1:5" ht="12.75" customHeight="1" x14ac:dyDescent="0.25">
      <c r="A2" s="1323" t="s">
        <v>0</v>
      </c>
      <c r="B2" s="1325" t="s">
        <v>1</v>
      </c>
      <c r="C2" s="1327" t="s">
        <v>93</v>
      </c>
      <c r="D2" s="1328" t="s">
        <v>643</v>
      </c>
    </row>
    <row r="3" spans="1:5" ht="48.75" customHeight="1" x14ac:dyDescent="0.25">
      <c r="A3" s="1324"/>
      <c r="B3" s="1326"/>
      <c r="C3" s="1326"/>
      <c r="D3" s="1329"/>
    </row>
    <row r="4" spans="1:5" ht="12.75" customHeight="1" x14ac:dyDescent="0.25">
      <c r="A4" s="513"/>
      <c r="B4" s="514"/>
      <c r="C4" s="515" t="s">
        <v>331</v>
      </c>
      <c r="D4" s="516">
        <f>D6+D5</f>
        <v>399721</v>
      </c>
    </row>
    <row r="5" spans="1:5" ht="12.75" customHeight="1" x14ac:dyDescent="0.25">
      <c r="A5" s="513"/>
      <c r="B5" s="514"/>
      <c r="C5" s="515" t="s">
        <v>106</v>
      </c>
      <c r="D5" s="517">
        <v>0</v>
      </c>
    </row>
    <row r="6" spans="1:5" ht="12.75" customHeight="1" x14ac:dyDescent="0.25">
      <c r="A6" s="513"/>
      <c r="B6" s="514"/>
      <c r="C6" s="515" t="s">
        <v>108</v>
      </c>
      <c r="D6" s="516">
        <f>SUM(D7:D21)</f>
        <v>399721</v>
      </c>
    </row>
    <row r="7" spans="1:5" ht="12.75" customHeight="1" x14ac:dyDescent="0.25">
      <c r="A7" s="513">
        <v>1</v>
      </c>
      <c r="B7" s="514" t="s">
        <v>117</v>
      </c>
      <c r="C7" s="518" t="s">
        <v>118</v>
      </c>
      <c r="D7" s="519">
        <v>27289</v>
      </c>
      <c r="E7" s="520"/>
    </row>
    <row r="8" spans="1:5" ht="12.75" customHeight="1" x14ac:dyDescent="0.25">
      <c r="A8" s="513">
        <v>2</v>
      </c>
      <c r="B8" s="514" t="s">
        <v>20</v>
      </c>
      <c r="C8" s="518" t="s">
        <v>21</v>
      </c>
      <c r="D8" s="519">
        <v>11299</v>
      </c>
      <c r="E8" s="520"/>
    </row>
    <row r="9" spans="1:5" ht="12.75" customHeight="1" x14ac:dyDescent="0.25">
      <c r="A9" s="513">
        <v>3</v>
      </c>
      <c r="B9" s="514" t="s">
        <v>30</v>
      </c>
      <c r="C9" s="518" t="s">
        <v>31</v>
      </c>
      <c r="D9" s="519">
        <v>23820</v>
      </c>
      <c r="E9" s="520"/>
    </row>
    <row r="10" spans="1:5" ht="12.75" customHeight="1" x14ac:dyDescent="0.25">
      <c r="A10" s="513">
        <v>4</v>
      </c>
      <c r="B10" s="514" t="s">
        <v>141</v>
      </c>
      <c r="C10" s="518" t="s">
        <v>142</v>
      </c>
      <c r="D10" s="519">
        <v>15443</v>
      </c>
      <c r="E10" s="520"/>
    </row>
    <row r="11" spans="1:5" ht="12.75" customHeight="1" x14ac:dyDescent="0.25">
      <c r="A11" s="513">
        <v>5</v>
      </c>
      <c r="B11" s="514" t="s">
        <v>149</v>
      </c>
      <c r="C11" s="518" t="s">
        <v>150</v>
      </c>
      <c r="D11" s="519">
        <v>42148</v>
      </c>
      <c r="E11" s="520"/>
    </row>
    <row r="12" spans="1:5" ht="12.75" customHeight="1" x14ac:dyDescent="0.2">
      <c r="A12" s="513">
        <v>6</v>
      </c>
      <c r="B12" s="514" t="s">
        <v>157</v>
      </c>
      <c r="C12" s="521" t="s">
        <v>644</v>
      </c>
      <c r="D12" s="519">
        <v>22614</v>
      </c>
      <c r="E12" s="520"/>
    </row>
    <row r="13" spans="1:5" ht="12.75" customHeight="1" x14ac:dyDescent="0.25">
      <c r="A13" s="513">
        <v>7</v>
      </c>
      <c r="B13" s="514" t="s">
        <v>46</v>
      </c>
      <c r="C13" s="518" t="s">
        <v>47</v>
      </c>
      <c r="D13" s="519">
        <v>12344</v>
      </c>
      <c r="E13" s="520"/>
    </row>
    <row r="14" spans="1:5" ht="12.75" customHeight="1" x14ac:dyDescent="0.25">
      <c r="A14" s="513">
        <v>8</v>
      </c>
      <c r="B14" s="514" t="s">
        <v>169</v>
      </c>
      <c r="C14" s="518" t="s">
        <v>170</v>
      </c>
      <c r="D14" s="519">
        <v>1683</v>
      </c>
      <c r="E14" s="520"/>
    </row>
    <row r="15" spans="1:5" ht="12.75" customHeight="1" x14ac:dyDescent="0.25">
      <c r="A15" s="513">
        <v>9</v>
      </c>
      <c r="B15" s="514" t="s">
        <v>171</v>
      </c>
      <c r="C15" s="518" t="s">
        <v>172</v>
      </c>
      <c r="D15" s="519">
        <v>39575</v>
      </c>
      <c r="E15" s="520"/>
    </row>
    <row r="16" spans="1:5" ht="12.75" customHeight="1" x14ac:dyDescent="0.25">
      <c r="A16" s="513">
        <v>10</v>
      </c>
      <c r="B16" s="514" t="s">
        <v>54</v>
      </c>
      <c r="C16" s="518" t="s">
        <v>222</v>
      </c>
      <c r="D16" s="519">
        <v>101516</v>
      </c>
      <c r="E16" s="520"/>
    </row>
    <row r="17" spans="1:5" ht="12.75" customHeight="1" x14ac:dyDescent="0.2">
      <c r="A17" s="513">
        <v>11</v>
      </c>
      <c r="B17" s="514" t="s">
        <v>228</v>
      </c>
      <c r="C17" s="522" t="s">
        <v>645</v>
      </c>
      <c r="D17" s="519">
        <v>653</v>
      </c>
      <c r="E17" s="520"/>
    </row>
    <row r="18" spans="1:5" ht="12.75" customHeight="1" x14ac:dyDescent="0.25">
      <c r="A18" s="513">
        <v>12</v>
      </c>
      <c r="B18" s="514" t="s">
        <v>294</v>
      </c>
      <c r="C18" s="518" t="s">
        <v>616</v>
      </c>
      <c r="D18" s="519">
        <v>19261</v>
      </c>
      <c r="E18" s="520"/>
    </row>
    <row r="19" spans="1:5" ht="12.75" customHeight="1" x14ac:dyDescent="0.25">
      <c r="A19" s="513">
        <v>13</v>
      </c>
      <c r="B19" s="523" t="s">
        <v>301</v>
      </c>
      <c r="C19" s="524" t="s">
        <v>302</v>
      </c>
      <c r="D19" s="519">
        <v>37260</v>
      </c>
      <c r="E19" s="520"/>
    </row>
    <row r="20" spans="1:5" ht="12.75" customHeight="1" x14ac:dyDescent="0.25">
      <c r="A20" s="513">
        <v>14</v>
      </c>
      <c r="B20" s="514" t="s">
        <v>60</v>
      </c>
      <c r="C20" s="518" t="s">
        <v>303</v>
      </c>
      <c r="D20" s="519">
        <v>14575</v>
      </c>
      <c r="E20" s="520"/>
    </row>
    <row r="21" spans="1:5" ht="12.75" customHeight="1" thickBot="1" x14ac:dyDescent="0.3">
      <c r="A21" s="525">
        <v>15</v>
      </c>
      <c r="B21" s="526" t="s">
        <v>305</v>
      </c>
      <c r="C21" s="527" t="s">
        <v>306</v>
      </c>
      <c r="D21" s="528">
        <v>30241</v>
      </c>
      <c r="E21" s="520"/>
    </row>
    <row r="22" spans="1:5" x14ac:dyDescent="0.25">
      <c r="C22" s="529"/>
      <c r="D22" s="530"/>
      <c r="E22" s="520"/>
    </row>
    <row r="23" spans="1:5" x14ac:dyDescent="0.25">
      <c r="C23" s="529"/>
      <c r="E23" s="520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5"/>
  <sheetViews>
    <sheetView zoomScaleNormal="100" workbookViewId="0">
      <pane xSplit="3" ySplit="5" topLeftCell="D114" activePane="bottomRight" state="frozen"/>
      <selection pane="topRight" activeCell="D1" sqref="D1"/>
      <selection pane="bottomLeft" activeCell="A6" sqref="A6"/>
      <selection pane="bottomRight" activeCell="F122" sqref="F122"/>
    </sheetView>
  </sheetViews>
  <sheetFormatPr defaultRowHeight="12" x14ac:dyDescent="0.25"/>
  <cols>
    <col min="1" max="1" width="4" style="668" customWidth="1"/>
    <col min="2" max="2" width="9.28515625" style="668" customWidth="1"/>
    <col min="3" max="3" width="40.7109375" style="669" customWidth="1"/>
    <col min="4" max="4" width="8.85546875" style="668" customWidth="1"/>
    <col min="5" max="5" width="10.85546875" style="668" customWidth="1"/>
    <col min="6" max="6" width="10.140625" style="668" customWidth="1"/>
    <col min="7" max="7" width="9.7109375" style="668" customWidth="1"/>
    <col min="8" max="8" width="10.140625" style="668" customWidth="1"/>
    <col min="9" max="9" width="11.85546875" style="668" customWidth="1"/>
    <col min="10" max="10" width="10.85546875" style="668" customWidth="1"/>
    <col min="11" max="11" width="10.140625" style="668" customWidth="1"/>
    <col min="12" max="12" width="12" style="668" customWidth="1"/>
    <col min="13" max="16384" width="9.140625" style="667"/>
  </cols>
  <sheetData>
    <row r="1" spans="1:12" s="640" customFormat="1" ht="15.75" customHeight="1" x14ac:dyDescent="0.25">
      <c r="A1" s="947" t="s">
        <v>733</v>
      </c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</row>
    <row r="2" spans="1:12" s="640" customFormat="1" ht="7.5" customHeight="1" x14ac:dyDescent="0.25">
      <c r="A2" s="948"/>
      <c r="B2" s="948"/>
      <c r="C2" s="948"/>
      <c r="D2" s="948"/>
      <c r="E2" s="948"/>
      <c r="F2" s="948"/>
      <c r="G2" s="948"/>
      <c r="H2" s="948"/>
      <c r="I2" s="948"/>
      <c r="J2" s="948"/>
      <c r="K2" s="948"/>
      <c r="L2" s="948"/>
    </row>
    <row r="3" spans="1:12" s="640" customFormat="1" ht="24" customHeight="1" x14ac:dyDescent="0.25">
      <c r="A3" s="846"/>
      <c r="B3" s="846"/>
      <c r="C3" s="846"/>
      <c r="D3" s="839" t="s">
        <v>774</v>
      </c>
      <c r="E3" s="846"/>
      <c r="F3" s="846"/>
      <c r="G3" s="846"/>
      <c r="H3" s="846"/>
      <c r="I3" s="846"/>
      <c r="J3" s="846"/>
      <c r="K3" s="846"/>
      <c r="L3" s="846"/>
    </row>
    <row r="4" spans="1:12" s="640" customFormat="1" ht="12" customHeight="1" x14ac:dyDescent="0.25">
      <c r="A4" s="949" t="s">
        <v>0</v>
      </c>
      <c r="B4" s="949" t="s">
        <v>1</v>
      </c>
      <c r="C4" s="949" t="s">
        <v>93</v>
      </c>
      <c r="D4" s="951" t="s">
        <v>734</v>
      </c>
      <c r="E4" s="951" t="s">
        <v>735</v>
      </c>
      <c r="F4" s="952" t="s">
        <v>412</v>
      </c>
      <c r="G4" s="952"/>
      <c r="H4" s="952"/>
      <c r="I4" s="952"/>
      <c r="J4" s="952"/>
      <c r="K4" s="953" t="s">
        <v>719</v>
      </c>
      <c r="L4" s="953" t="s">
        <v>736</v>
      </c>
    </row>
    <row r="5" spans="1:12" s="641" customFormat="1" ht="48.75" customHeight="1" x14ac:dyDescent="0.25">
      <c r="A5" s="950"/>
      <c r="B5" s="950"/>
      <c r="C5" s="950"/>
      <c r="D5" s="951"/>
      <c r="E5" s="951"/>
      <c r="F5" s="847" t="s">
        <v>720</v>
      </c>
      <c r="G5" s="847" t="s">
        <v>721</v>
      </c>
      <c r="H5" s="847" t="s">
        <v>722</v>
      </c>
      <c r="I5" s="847" t="s">
        <v>723</v>
      </c>
      <c r="J5" s="847" t="s">
        <v>724</v>
      </c>
      <c r="K5" s="953"/>
      <c r="L5" s="953"/>
    </row>
    <row r="6" spans="1:12" s="640" customFormat="1" ht="11.25" customHeight="1" x14ac:dyDescent="0.25">
      <c r="A6" s="642">
        <v>1</v>
      </c>
      <c r="B6" s="643" t="s">
        <v>109</v>
      </c>
      <c r="C6" s="644" t="s">
        <v>110</v>
      </c>
      <c r="D6" s="645">
        <f t="shared" ref="D6:D17" si="0">E6+K6+L6</f>
        <v>932</v>
      </c>
      <c r="E6" s="645">
        <v>932</v>
      </c>
      <c r="F6" s="642"/>
      <c r="G6" s="642"/>
      <c r="H6" s="642"/>
      <c r="I6" s="642"/>
      <c r="J6" s="642"/>
      <c r="K6" s="642"/>
      <c r="L6" s="642"/>
    </row>
    <row r="7" spans="1:12" s="640" customFormat="1" ht="11.25" customHeight="1" x14ac:dyDescent="0.25">
      <c r="A7" s="642">
        <v>2</v>
      </c>
      <c r="B7" s="643" t="s">
        <v>111</v>
      </c>
      <c r="C7" s="646" t="s">
        <v>112</v>
      </c>
      <c r="D7" s="645">
        <f>E7+K7+L7</f>
        <v>939</v>
      </c>
      <c r="E7" s="645">
        <v>939</v>
      </c>
      <c r="F7" s="642"/>
      <c r="G7" s="642"/>
      <c r="H7" s="642"/>
      <c r="I7" s="642"/>
      <c r="J7" s="642"/>
      <c r="K7" s="642"/>
      <c r="L7" s="642"/>
    </row>
    <row r="8" spans="1:12" s="640" customFormat="1" ht="11.25" customHeight="1" x14ac:dyDescent="0.25">
      <c r="A8" s="642">
        <v>3</v>
      </c>
      <c r="B8" s="647" t="s">
        <v>80</v>
      </c>
      <c r="C8" s="648" t="s">
        <v>81</v>
      </c>
      <c r="D8" s="645">
        <f t="shared" si="0"/>
        <v>3128</v>
      </c>
      <c r="E8" s="645">
        <v>2928</v>
      </c>
      <c r="F8" s="642"/>
      <c r="G8" s="642"/>
      <c r="H8" s="642"/>
      <c r="I8" s="642">
        <v>15</v>
      </c>
      <c r="J8" s="642"/>
      <c r="K8" s="642"/>
      <c r="L8" s="642">
        <v>200</v>
      </c>
    </row>
    <row r="9" spans="1:12" s="640" customFormat="1" ht="11.25" customHeight="1" x14ac:dyDescent="0.25">
      <c r="A9" s="642">
        <v>4</v>
      </c>
      <c r="B9" s="643" t="s">
        <v>113</v>
      </c>
      <c r="C9" s="646" t="s">
        <v>114</v>
      </c>
      <c r="D9" s="645">
        <f t="shared" si="0"/>
        <v>1001</v>
      </c>
      <c r="E9" s="645">
        <v>1001</v>
      </c>
      <c r="F9" s="642"/>
      <c r="G9" s="642"/>
      <c r="H9" s="642"/>
      <c r="I9" s="642"/>
      <c r="J9" s="642"/>
      <c r="K9" s="642"/>
      <c r="L9" s="642"/>
    </row>
    <row r="10" spans="1:12" s="640" customFormat="1" ht="11.25" customHeight="1" x14ac:dyDescent="0.25">
      <c r="A10" s="642">
        <v>5</v>
      </c>
      <c r="B10" s="643" t="s">
        <v>115</v>
      </c>
      <c r="C10" s="646" t="s">
        <v>116</v>
      </c>
      <c r="D10" s="645">
        <f t="shared" si="0"/>
        <v>1122</v>
      </c>
      <c r="E10" s="645">
        <v>1122</v>
      </c>
      <c r="F10" s="642"/>
      <c r="G10" s="642"/>
      <c r="H10" s="642"/>
      <c r="I10" s="642"/>
      <c r="J10" s="642"/>
      <c r="K10" s="642"/>
      <c r="L10" s="642"/>
    </row>
    <row r="11" spans="1:12" s="640" customFormat="1" ht="11.25" customHeight="1" x14ac:dyDescent="0.25">
      <c r="A11" s="642">
        <v>6</v>
      </c>
      <c r="B11" s="647" t="s">
        <v>117</v>
      </c>
      <c r="C11" s="648" t="s">
        <v>118</v>
      </c>
      <c r="D11" s="645">
        <f t="shared" si="0"/>
        <v>8494</v>
      </c>
      <c r="E11" s="645">
        <v>8153</v>
      </c>
      <c r="F11" s="642"/>
      <c r="G11" s="642"/>
      <c r="H11" s="642"/>
      <c r="I11" s="642">
        <v>15</v>
      </c>
      <c r="J11" s="642"/>
      <c r="K11" s="642"/>
      <c r="L11" s="642">
        <v>341</v>
      </c>
    </row>
    <row r="12" spans="1:12" s="640" customFormat="1" ht="11.25" customHeight="1" x14ac:dyDescent="0.25">
      <c r="A12" s="642">
        <v>7</v>
      </c>
      <c r="B12" s="649" t="s">
        <v>20</v>
      </c>
      <c r="C12" s="650" t="s">
        <v>21</v>
      </c>
      <c r="D12" s="645">
        <f t="shared" si="0"/>
        <v>3204</v>
      </c>
      <c r="E12" s="645">
        <v>2899</v>
      </c>
      <c r="F12" s="642"/>
      <c r="G12" s="642"/>
      <c r="H12" s="642"/>
      <c r="I12" s="642"/>
      <c r="J12" s="642"/>
      <c r="K12" s="642"/>
      <c r="L12" s="642">
        <v>305</v>
      </c>
    </row>
    <row r="13" spans="1:12" s="640" customFormat="1" ht="11.25" customHeight="1" x14ac:dyDescent="0.25">
      <c r="A13" s="642">
        <v>8</v>
      </c>
      <c r="B13" s="647" t="s">
        <v>119</v>
      </c>
      <c r="C13" s="648" t="s">
        <v>120</v>
      </c>
      <c r="D13" s="645">
        <f t="shared" si="0"/>
        <v>1191</v>
      </c>
      <c r="E13" s="645">
        <v>1191</v>
      </c>
      <c r="F13" s="642"/>
      <c r="G13" s="642"/>
      <c r="H13" s="642"/>
      <c r="I13" s="642"/>
      <c r="J13" s="642"/>
      <c r="K13" s="642"/>
      <c r="L13" s="642"/>
    </row>
    <row r="14" spans="1:12" s="640" customFormat="1" ht="11.25" customHeight="1" x14ac:dyDescent="0.25">
      <c r="A14" s="642">
        <v>9</v>
      </c>
      <c r="B14" s="647" t="s">
        <v>121</v>
      </c>
      <c r="C14" s="648" t="s">
        <v>122</v>
      </c>
      <c r="D14" s="645">
        <f t="shared" si="0"/>
        <v>1050</v>
      </c>
      <c r="E14" s="645">
        <v>1050</v>
      </c>
      <c r="F14" s="642"/>
      <c r="G14" s="642"/>
      <c r="H14" s="642"/>
      <c r="I14" s="642"/>
      <c r="J14" s="642"/>
      <c r="K14" s="642"/>
      <c r="L14" s="642"/>
    </row>
    <row r="15" spans="1:12" s="640" customFormat="1" ht="11.25" customHeight="1" x14ac:dyDescent="0.25">
      <c r="A15" s="642">
        <v>10</v>
      </c>
      <c r="B15" s="647" t="s">
        <v>123</v>
      </c>
      <c r="C15" s="648" t="s">
        <v>124</v>
      </c>
      <c r="D15" s="645">
        <f t="shared" si="0"/>
        <v>1392</v>
      </c>
      <c r="E15" s="645">
        <v>1392</v>
      </c>
      <c r="F15" s="642"/>
      <c r="G15" s="642"/>
      <c r="H15" s="642"/>
      <c r="I15" s="642"/>
      <c r="J15" s="642"/>
      <c r="K15" s="642"/>
      <c r="L15" s="642"/>
    </row>
    <row r="16" spans="1:12" s="640" customFormat="1" ht="11.25" customHeight="1" x14ac:dyDescent="0.25">
      <c r="A16" s="642">
        <v>11</v>
      </c>
      <c r="B16" s="647" t="s">
        <v>125</v>
      </c>
      <c r="C16" s="648" t="s">
        <v>126</v>
      </c>
      <c r="D16" s="645">
        <f t="shared" si="0"/>
        <v>1081</v>
      </c>
      <c r="E16" s="645">
        <v>1081</v>
      </c>
      <c r="F16" s="642"/>
      <c r="G16" s="642"/>
      <c r="H16" s="642"/>
      <c r="I16" s="642"/>
      <c r="J16" s="642"/>
      <c r="K16" s="642"/>
      <c r="L16" s="642"/>
    </row>
    <row r="17" spans="1:12" s="640" customFormat="1" ht="11.25" customHeight="1" x14ac:dyDescent="0.25">
      <c r="A17" s="642">
        <v>12</v>
      </c>
      <c r="B17" s="647" t="s">
        <v>127</v>
      </c>
      <c r="C17" s="648" t="s">
        <v>128</v>
      </c>
      <c r="D17" s="645">
        <f t="shared" si="0"/>
        <v>2154</v>
      </c>
      <c r="E17" s="645">
        <v>2154</v>
      </c>
      <c r="F17" s="642"/>
      <c r="G17" s="642"/>
      <c r="H17" s="642"/>
      <c r="I17" s="642"/>
      <c r="J17" s="642"/>
      <c r="K17" s="642"/>
      <c r="L17" s="642"/>
    </row>
    <row r="18" spans="1:12" s="640" customFormat="1" ht="11.25" customHeight="1" x14ac:dyDescent="0.25">
      <c r="A18" s="642">
        <v>13</v>
      </c>
      <c r="B18" s="651" t="s">
        <v>725</v>
      </c>
      <c r="C18" s="652" t="s">
        <v>130</v>
      </c>
      <c r="D18" s="645"/>
      <c r="E18" s="645"/>
      <c r="F18" s="642"/>
      <c r="G18" s="642"/>
      <c r="H18" s="642"/>
      <c r="I18" s="642"/>
      <c r="J18" s="642"/>
      <c r="K18" s="642"/>
      <c r="L18" s="642"/>
    </row>
    <row r="19" spans="1:12" s="640" customFormat="1" ht="11.25" customHeight="1" x14ac:dyDescent="0.25">
      <c r="A19" s="642">
        <v>14</v>
      </c>
      <c r="B19" s="647" t="s">
        <v>131</v>
      </c>
      <c r="C19" s="648" t="s">
        <v>132</v>
      </c>
      <c r="D19" s="645">
        <f t="shared" ref="D19:D27" si="1">E19+K19+L19</f>
        <v>1430</v>
      </c>
      <c r="E19" s="645">
        <v>1430</v>
      </c>
      <c r="F19" s="642"/>
      <c r="G19" s="642"/>
      <c r="H19" s="642"/>
      <c r="I19" s="642"/>
      <c r="J19" s="642"/>
      <c r="K19" s="642"/>
      <c r="L19" s="642"/>
    </row>
    <row r="20" spans="1:12" s="640" customFormat="1" ht="11.25" customHeight="1" x14ac:dyDescent="0.25">
      <c r="A20" s="642">
        <v>15</v>
      </c>
      <c r="B20" s="647" t="s">
        <v>133</v>
      </c>
      <c r="C20" s="648" t="s">
        <v>134</v>
      </c>
      <c r="D20" s="645">
        <f t="shared" si="1"/>
        <v>2061</v>
      </c>
      <c r="E20" s="645">
        <v>2061</v>
      </c>
      <c r="F20" s="642"/>
      <c r="G20" s="642"/>
      <c r="H20" s="642"/>
      <c r="I20" s="642"/>
      <c r="J20" s="642"/>
      <c r="K20" s="642"/>
      <c r="L20" s="642"/>
    </row>
    <row r="21" spans="1:12" s="640" customFormat="1" ht="11.25" customHeight="1" x14ac:dyDescent="0.25">
      <c r="A21" s="642">
        <v>16</v>
      </c>
      <c r="B21" s="647" t="s">
        <v>135</v>
      </c>
      <c r="C21" s="648" t="s">
        <v>136</v>
      </c>
      <c r="D21" s="645">
        <f t="shared" si="1"/>
        <v>2747</v>
      </c>
      <c r="E21" s="645">
        <v>2747</v>
      </c>
      <c r="F21" s="642"/>
      <c r="G21" s="642"/>
      <c r="H21" s="642"/>
      <c r="I21" s="642"/>
      <c r="J21" s="642"/>
      <c r="K21" s="642"/>
      <c r="L21" s="642"/>
    </row>
    <row r="22" spans="1:12" s="640" customFormat="1" ht="11.25" customHeight="1" x14ac:dyDescent="0.25">
      <c r="A22" s="642">
        <v>17</v>
      </c>
      <c r="B22" s="647" t="s">
        <v>30</v>
      </c>
      <c r="C22" s="648" t="s">
        <v>31</v>
      </c>
      <c r="D22" s="645">
        <f t="shared" si="1"/>
        <v>5518</v>
      </c>
      <c r="E22" s="645">
        <v>5086</v>
      </c>
      <c r="F22" s="642"/>
      <c r="G22" s="642"/>
      <c r="H22" s="642"/>
      <c r="I22" s="642">
        <v>15</v>
      </c>
      <c r="J22" s="642"/>
      <c r="K22" s="642"/>
      <c r="L22" s="642">
        <v>432</v>
      </c>
    </row>
    <row r="23" spans="1:12" s="640" customFormat="1" ht="11.25" customHeight="1" x14ac:dyDescent="0.25">
      <c r="A23" s="642">
        <v>18</v>
      </c>
      <c r="B23" s="643" t="s">
        <v>137</v>
      </c>
      <c r="C23" s="646" t="s">
        <v>138</v>
      </c>
      <c r="D23" s="645">
        <f t="shared" si="1"/>
        <v>880</v>
      </c>
      <c r="E23" s="645">
        <v>880</v>
      </c>
      <c r="F23" s="642"/>
      <c r="G23" s="642"/>
      <c r="H23" s="642"/>
      <c r="I23" s="642"/>
      <c r="J23" s="642"/>
      <c r="K23" s="642"/>
      <c r="L23" s="642"/>
    </row>
    <row r="24" spans="1:12" s="640" customFormat="1" ht="11.25" customHeight="1" x14ac:dyDescent="0.25">
      <c r="A24" s="642">
        <v>19</v>
      </c>
      <c r="B24" s="643" t="s">
        <v>139</v>
      </c>
      <c r="C24" s="646" t="s">
        <v>140</v>
      </c>
      <c r="D24" s="645">
        <f t="shared" si="1"/>
        <v>664</v>
      </c>
      <c r="E24" s="645">
        <v>664</v>
      </c>
      <c r="F24" s="642"/>
      <c r="G24" s="642"/>
      <c r="H24" s="642"/>
      <c r="I24" s="642"/>
      <c r="J24" s="642"/>
      <c r="K24" s="642"/>
      <c r="L24" s="642"/>
    </row>
    <row r="25" spans="1:12" s="640" customFormat="1" ht="11.25" customHeight="1" x14ac:dyDescent="0.25">
      <c r="A25" s="642">
        <v>20</v>
      </c>
      <c r="B25" s="643" t="s">
        <v>84</v>
      </c>
      <c r="C25" s="646" t="s">
        <v>85</v>
      </c>
      <c r="D25" s="645">
        <f t="shared" si="1"/>
        <v>3509</v>
      </c>
      <c r="E25" s="645">
        <v>3509</v>
      </c>
      <c r="F25" s="642"/>
      <c r="G25" s="642"/>
      <c r="H25" s="642"/>
      <c r="I25" s="642">
        <v>5</v>
      </c>
      <c r="J25" s="642"/>
      <c r="K25" s="642"/>
      <c r="L25" s="642"/>
    </row>
    <row r="26" spans="1:12" s="640" customFormat="1" ht="11.25" customHeight="1" x14ac:dyDescent="0.25">
      <c r="A26" s="642">
        <v>21</v>
      </c>
      <c r="B26" s="643" t="s">
        <v>141</v>
      </c>
      <c r="C26" s="646" t="s">
        <v>142</v>
      </c>
      <c r="D26" s="645">
        <f t="shared" si="1"/>
        <v>3090</v>
      </c>
      <c r="E26" s="645">
        <v>3090</v>
      </c>
      <c r="F26" s="642"/>
      <c r="G26" s="642"/>
      <c r="H26" s="642"/>
      <c r="I26" s="642">
        <v>10</v>
      </c>
      <c r="J26" s="642"/>
      <c r="K26" s="642"/>
      <c r="L26" s="642"/>
    </row>
    <row r="27" spans="1:12" s="640" customFormat="1" ht="11.25" customHeight="1" x14ac:dyDescent="0.25">
      <c r="A27" s="642">
        <v>22</v>
      </c>
      <c r="B27" s="647" t="s">
        <v>143</v>
      </c>
      <c r="C27" s="648" t="s">
        <v>144</v>
      </c>
      <c r="D27" s="645">
        <f t="shared" si="1"/>
        <v>702</v>
      </c>
      <c r="E27" s="645">
        <v>702</v>
      </c>
      <c r="F27" s="642"/>
      <c r="G27" s="642"/>
      <c r="H27" s="642"/>
      <c r="I27" s="642"/>
      <c r="J27" s="642"/>
      <c r="K27" s="642"/>
      <c r="L27" s="642"/>
    </row>
    <row r="28" spans="1:12" s="640" customFormat="1" ht="11.25" customHeight="1" x14ac:dyDescent="0.25">
      <c r="A28" s="642">
        <v>23</v>
      </c>
      <c r="B28" s="647" t="s">
        <v>145</v>
      </c>
      <c r="C28" s="648" t="s">
        <v>146</v>
      </c>
      <c r="D28" s="645"/>
      <c r="E28" s="645"/>
      <c r="F28" s="642"/>
      <c r="G28" s="642"/>
      <c r="H28" s="642"/>
      <c r="I28" s="642"/>
      <c r="J28" s="642"/>
      <c r="K28" s="642"/>
      <c r="L28" s="642"/>
    </row>
    <row r="29" spans="1:12" s="640" customFormat="1" ht="11.25" customHeight="1" x14ac:dyDescent="0.25">
      <c r="A29" s="642">
        <v>24</v>
      </c>
      <c r="B29" s="647" t="s">
        <v>147</v>
      </c>
      <c r="C29" s="648" t="s">
        <v>148</v>
      </c>
      <c r="D29" s="645">
        <f>E29+K29+L29</f>
        <v>495</v>
      </c>
      <c r="E29" s="645"/>
      <c r="F29" s="642"/>
      <c r="G29" s="642"/>
      <c r="H29" s="642"/>
      <c r="I29" s="642"/>
      <c r="J29" s="642"/>
      <c r="K29" s="642"/>
      <c r="L29" s="642">
        <v>495</v>
      </c>
    </row>
    <row r="30" spans="1:12" s="640" customFormat="1" ht="11.25" customHeight="1" x14ac:dyDescent="0.25">
      <c r="A30" s="642">
        <v>25</v>
      </c>
      <c r="B30" s="643" t="s">
        <v>149</v>
      </c>
      <c r="C30" s="650" t="s">
        <v>150</v>
      </c>
      <c r="D30" s="645">
        <f>E30+K30+L30</f>
        <v>13139</v>
      </c>
      <c r="E30" s="645">
        <v>13139</v>
      </c>
      <c r="F30" s="642"/>
      <c r="G30" s="642"/>
      <c r="H30" s="642"/>
      <c r="I30" s="642"/>
      <c r="J30" s="642"/>
      <c r="K30" s="642"/>
      <c r="L30" s="642"/>
    </row>
    <row r="31" spans="1:12" s="640" customFormat="1" ht="11.25" customHeight="1" x14ac:dyDescent="0.25">
      <c r="A31" s="642">
        <v>26</v>
      </c>
      <c r="B31" s="647" t="s">
        <v>151</v>
      </c>
      <c r="C31" s="648" t="s">
        <v>152</v>
      </c>
      <c r="D31" s="645">
        <f>E31+K31+L31</f>
        <v>2448</v>
      </c>
      <c r="E31" s="645">
        <v>2448</v>
      </c>
      <c r="F31" s="642"/>
      <c r="G31" s="642"/>
      <c r="H31" s="642"/>
      <c r="I31" s="642">
        <v>80</v>
      </c>
      <c r="J31" s="642"/>
      <c r="K31" s="642"/>
      <c r="L31" s="642"/>
    </row>
    <row r="32" spans="1:12" s="640" customFormat="1" ht="11.25" customHeight="1" x14ac:dyDescent="0.25">
      <c r="A32" s="642">
        <v>27</v>
      </c>
      <c r="B32" s="643" t="s">
        <v>153</v>
      </c>
      <c r="C32" s="646" t="s">
        <v>154</v>
      </c>
      <c r="D32" s="645"/>
      <c r="E32" s="645"/>
      <c r="F32" s="642"/>
      <c r="G32" s="642"/>
      <c r="H32" s="642"/>
      <c r="I32" s="642"/>
      <c r="J32" s="642"/>
      <c r="K32" s="642"/>
      <c r="L32" s="642"/>
    </row>
    <row r="33" spans="1:12" s="640" customFormat="1" ht="11.25" customHeight="1" x14ac:dyDescent="0.25">
      <c r="A33" s="642">
        <v>28</v>
      </c>
      <c r="B33" s="643" t="s">
        <v>155</v>
      </c>
      <c r="C33" s="749" t="s">
        <v>156</v>
      </c>
      <c r="D33" s="645"/>
      <c r="E33" s="645"/>
      <c r="F33" s="642"/>
      <c r="G33" s="642"/>
      <c r="H33" s="642"/>
      <c r="I33" s="642"/>
      <c r="J33" s="642"/>
      <c r="K33" s="642"/>
      <c r="L33" s="642"/>
    </row>
    <row r="34" spans="1:12" s="640" customFormat="1" ht="11.25" customHeight="1" x14ac:dyDescent="0.25">
      <c r="A34" s="642">
        <v>29</v>
      </c>
      <c r="B34" s="647" t="s">
        <v>157</v>
      </c>
      <c r="C34" s="648" t="s">
        <v>158</v>
      </c>
      <c r="D34" s="645">
        <f t="shared" ref="D34:D55" si="2">E34+K34+L34</f>
        <v>4148</v>
      </c>
      <c r="E34" s="645">
        <v>4148</v>
      </c>
      <c r="F34" s="642"/>
      <c r="G34" s="642"/>
      <c r="H34" s="642"/>
      <c r="I34" s="642">
        <v>15</v>
      </c>
      <c r="J34" s="642"/>
      <c r="K34" s="642"/>
      <c r="L34" s="642"/>
    </row>
    <row r="35" spans="1:12" s="640" customFormat="1" ht="11.25" customHeight="1" x14ac:dyDescent="0.25">
      <c r="A35" s="642">
        <v>30</v>
      </c>
      <c r="B35" s="643" t="s">
        <v>46</v>
      </c>
      <c r="C35" s="646" t="s">
        <v>47</v>
      </c>
      <c r="D35" s="645">
        <f t="shared" si="2"/>
        <v>6347</v>
      </c>
      <c r="E35" s="645">
        <v>6347</v>
      </c>
      <c r="F35" s="642"/>
      <c r="G35" s="642"/>
      <c r="H35" s="642"/>
      <c r="I35" s="642">
        <v>15</v>
      </c>
      <c r="J35" s="642"/>
      <c r="K35" s="642"/>
      <c r="L35" s="642"/>
    </row>
    <row r="36" spans="1:12" s="640" customFormat="1" ht="11.25" customHeight="1" x14ac:dyDescent="0.25">
      <c r="A36" s="642">
        <v>31</v>
      </c>
      <c r="B36" s="649" t="s">
        <v>159</v>
      </c>
      <c r="C36" s="650" t="s">
        <v>160</v>
      </c>
      <c r="D36" s="645">
        <f t="shared" si="2"/>
        <v>1208</v>
      </c>
      <c r="E36" s="645">
        <v>1208</v>
      </c>
      <c r="F36" s="642"/>
      <c r="G36" s="642"/>
      <c r="H36" s="642"/>
      <c r="I36" s="642"/>
      <c r="J36" s="642"/>
      <c r="K36" s="642"/>
      <c r="L36" s="642"/>
    </row>
    <row r="37" spans="1:12" s="640" customFormat="1" ht="11.25" customHeight="1" x14ac:dyDescent="0.25">
      <c r="A37" s="642">
        <v>32</v>
      </c>
      <c r="B37" s="643" t="s">
        <v>58</v>
      </c>
      <c r="C37" s="646" t="s">
        <v>59</v>
      </c>
      <c r="D37" s="645">
        <f t="shared" si="2"/>
        <v>4819</v>
      </c>
      <c r="E37" s="645">
        <v>4271</v>
      </c>
      <c r="F37" s="642"/>
      <c r="G37" s="642"/>
      <c r="H37" s="642"/>
      <c r="I37" s="642">
        <v>15</v>
      </c>
      <c r="J37" s="642"/>
      <c r="K37" s="642"/>
      <c r="L37" s="642">
        <v>548</v>
      </c>
    </row>
    <row r="38" spans="1:12" s="640" customFormat="1" ht="11.25" customHeight="1" x14ac:dyDescent="0.25">
      <c r="A38" s="642">
        <v>33</v>
      </c>
      <c r="B38" s="643" t="s">
        <v>161</v>
      </c>
      <c r="C38" s="646" t="s">
        <v>162</v>
      </c>
      <c r="D38" s="645">
        <f t="shared" si="2"/>
        <v>1587</v>
      </c>
      <c r="E38" s="645">
        <v>1587</v>
      </c>
      <c r="F38" s="642"/>
      <c r="G38" s="642"/>
      <c r="H38" s="642"/>
      <c r="I38" s="642"/>
      <c r="J38" s="642"/>
      <c r="K38" s="642"/>
      <c r="L38" s="642"/>
    </row>
    <row r="39" spans="1:12" s="640" customFormat="1" ht="11.25" customHeight="1" x14ac:dyDescent="0.25">
      <c r="A39" s="642">
        <v>34</v>
      </c>
      <c r="B39" s="647" t="s">
        <v>82</v>
      </c>
      <c r="C39" s="648" t="s">
        <v>83</v>
      </c>
      <c r="D39" s="645">
        <f t="shared" si="2"/>
        <v>4134</v>
      </c>
      <c r="E39" s="645">
        <v>4134</v>
      </c>
      <c r="F39" s="642"/>
      <c r="G39" s="642"/>
      <c r="H39" s="642"/>
      <c r="I39" s="642">
        <v>10</v>
      </c>
      <c r="J39" s="642"/>
      <c r="K39" s="642"/>
      <c r="L39" s="642"/>
    </row>
    <row r="40" spans="1:12" s="640" customFormat="1" ht="11.25" customHeight="1" x14ac:dyDescent="0.25">
      <c r="A40" s="642">
        <v>35</v>
      </c>
      <c r="B40" s="643" t="s">
        <v>163</v>
      </c>
      <c r="C40" s="646" t="s">
        <v>164</v>
      </c>
      <c r="D40" s="645">
        <f t="shared" si="2"/>
        <v>1426</v>
      </c>
      <c r="E40" s="645">
        <v>1426</v>
      </c>
      <c r="F40" s="642"/>
      <c r="G40" s="642"/>
      <c r="H40" s="642"/>
      <c r="I40" s="642"/>
      <c r="J40" s="642"/>
      <c r="K40" s="642"/>
      <c r="L40" s="642"/>
    </row>
    <row r="41" spans="1:12" s="640" customFormat="1" ht="11.25" customHeight="1" x14ac:dyDescent="0.25">
      <c r="A41" s="642">
        <v>36</v>
      </c>
      <c r="B41" s="643" t="s">
        <v>165</v>
      </c>
      <c r="C41" s="646" t="s">
        <v>166</v>
      </c>
      <c r="D41" s="645">
        <f t="shared" si="2"/>
        <v>897</v>
      </c>
      <c r="E41" s="645">
        <v>897</v>
      </c>
      <c r="F41" s="642"/>
      <c r="G41" s="642"/>
      <c r="H41" s="642"/>
      <c r="I41" s="642"/>
      <c r="J41" s="642"/>
      <c r="K41" s="642"/>
      <c r="L41" s="642"/>
    </row>
    <row r="42" spans="1:12" s="640" customFormat="1" ht="11.25" customHeight="1" x14ac:dyDescent="0.25">
      <c r="A42" s="642">
        <v>37</v>
      </c>
      <c r="B42" s="653" t="s">
        <v>86</v>
      </c>
      <c r="C42" s="654" t="s">
        <v>87</v>
      </c>
      <c r="D42" s="645">
        <f t="shared" si="2"/>
        <v>1552</v>
      </c>
      <c r="E42" s="645">
        <v>1552</v>
      </c>
      <c r="F42" s="642"/>
      <c r="G42" s="642"/>
      <c r="H42" s="642"/>
      <c r="I42" s="642"/>
      <c r="J42" s="642"/>
      <c r="K42" s="642"/>
      <c r="L42" s="642"/>
    </row>
    <row r="43" spans="1:12" s="640" customFormat="1" ht="11.25" customHeight="1" x14ac:dyDescent="0.25">
      <c r="A43" s="642">
        <v>38</v>
      </c>
      <c r="B43" s="643" t="s">
        <v>167</v>
      </c>
      <c r="C43" s="646" t="s">
        <v>168</v>
      </c>
      <c r="D43" s="645">
        <f t="shared" si="2"/>
        <v>709</v>
      </c>
      <c r="E43" s="645">
        <v>709</v>
      </c>
      <c r="F43" s="642"/>
      <c r="G43" s="642"/>
      <c r="H43" s="642"/>
      <c r="I43" s="642"/>
      <c r="J43" s="642"/>
      <c r="K43" s="642"/>
      <c r="L43" s="642"/>
    </row>
    <row r="44" spans="1:12" s="640" customFormat="1" ht="11.25" customHeight="1" x14ac:dyDescent="0.25">
      <c r="A44" s="642">
        <v>39</v>
      </c>
      <c r="B44" s="649" t="s">
        <v>169</v>
      </c>
      <c r="C44" s="650" t="s">
        <v>170</v>
      </c>
      <c r="D44" s="645">
        <f t="shared" si="2"/>
        <v>763</v>
      </c>
      <c r="E44" s="645">
        <v>763</v>
      </c>
      <c r="F44" s="642"/>
      <c r="G44" s="642"/>
      <c r="H44" s="642"/>
      <c r="I44" s="642"/>
      <c r="J44" s="642">
        <v>100</v>
      </c>
      <c r="K44" s="642"/>
      <c r="L44" s="642"/>
    </row>
    <row r="45" spans="1:12" s="640" customFormat="1" ht="11.25" customHeight="1" x14ac:dyDescent="0.25">
      <c r="A45" s="642">
        <v>40</v>
      </c>
      <c r="B45" s="647" t="s">
        <v>171</v>
      </c>
      <c r="C45" s="648" t="s">
        <v>172</v>
      </c>
      <c r="D45" s="645">
        <f t="shared" si="2"/>
        <v>5839</v>
      </c>
      <c r="E45" s="645">
        <v>5557</v>
      </c>
      <c r="F45" s="642"/>
      <c r="G45" s="642"/>
      <c r="H45" s="642"/>
      <c r="I45" s="642">
        <v>25</v>
      </c>
      <c r="J45" s="642"/>
      <c r="K45" s="642"/>
      <c r="L45" s="642">
        <v>282</v>
      </c>
    </row>
    <row r="46" spans="1:12" s="640" customFormat="1" ht="11.25" customHeight="1" x14ac:dyDescent="0.25">
      <c r="A46" s="642">
        <v>41</v>
      </c>
      <c r="B46" s="643" t="s">
        <v>78</v>
      </c>
      <c r="C46" s="646" t="s">
        <v>79</v>
      </c>
      <c r="D46" s="645">
        <f t="shared" si="2"/>
        <v>1289</v>
      </c>
      <c r="E46" s="645">
        <v>1289</v>
      </c>
      <c r="F46" s="642"/>
      <c r="G46" s="642"/>
      <c r="H46" s="642"/>
      <c r="I46" s="642"/>
      <c r="J46" s="642"/>
      <c r="K46" s="642"/>
      <c r="L46" s="642"/>
    </row>
    <row r="47" spans="1:12" s="640" customFormat="1" ht="11.25" customHeight="1" x14ac:dyDescent="0.25">
      <c r="A47" s="642">
        <v>42</v>
      </c>
      <c r="B47" s="647" t="s">
        <v>173</v>
      </c>
      <c r="C47" s="648" t="s">
        <v>174</v>
      </c>
      <c r="D47" s="645">
        <f t="shared" si="2"/>
        <v>4351</v>
      </c>
      <c r="E47" s="645">
        <v>4351</v>
      </c>
      <c r="F47" s="642"/>
      <c r="G47" s="642"/>
      <c r="H47" s="642"/>
      <c r="I47" s="642"/>
      <c r="J47" s="642"/>
      <c r="K47" s="642"/>
      <c r="L47" s="642"/>
    </row>
    <row r="48" spans="1:12" s="640" customFormat="1" ht="11.25" customHeight="1" x14ac:dyDescent="0.25">
      <c r="A48" s="642">
        <v>43</v>
      </c>
      <c r="B48" s="643" t="s">
        <v>175</v>
      </c>
      <c r="C48" s="646" t="s">
        <v>176</v>
      </c>
      <c r="D48" s="645">
        <f t="shared" si="2"/>
        <v>962</v>
      </c>
      <c r="E48" s="645">
        <v>962</v>
      </c>
      <c r="F48" s="642"/>
      <c r="G48" s="642"/>
      <c r="H48" s="642"/>
      <c r="I48" s="642"/>
      <c r="J48" s="642"/>
      <c r="K48" s="642"/>
      <c r="L48" s="642"/>
    </row>
    <row r="49" spans="1:12" s="640" customFormat="1" ht="11.25" customHeight="1" x14ac:dyDescent="0.25">
      <c r="A49" s="642">
        <v>44</v>
      </c>
      <c r="B49" s="643" t="s">
        <v>42</v>
      </c>
      <c r="C49" s="646" t="s">
        <v>43</v>
      </c>
      <c r="D49" s="645">
        <f t="shared" si="2"/>
        <v>1544</v>
      </c>
      <c r="E49" s="645">
        <v>1544</v>
      </c>
      <c r="F49" s="642"/>
      <c r="G49" s="642"/>
      <c r="H49" s="642"/>
      <c r="I49" s="642"/>
      <c r="J49" s="642"/>
      <c r="K49" s="642"/>
      <c r="L49" s="642"/>
    </row>
    <row r="50" spans="1:12" s="640" customFormat="1" ht="11.25" customHeight="1" x14ac:dyDescent="0.25">
      <c r="A50" s="642">
        <v>45</v>
      </c>
      <c r="B50" s="655" t="s">
        <v>177</v>
      </c>
      <c r="C50" s="656" t="s">
        <v>178</v>
      </c>
      <c r="D50" s="645">
        <f t="shared" si="2"/>
        <v>1835</v>
      </c>
      <c r="E50" s="645">
        <v>1835</v>
      </c>
      <c r="F50" s="642"/>
      <c r="G50" s="642"/>
      <c r="H50" s="642"/>
      <c r="I50" s="642"/>
      <c r="J50" s="642"/>
      <c r="K50" s="642"/>
      <c r="L50" s="642"/>
    </row>
    <row r="51" spans="1:12" s="640" customFormat="1" ht="11.25" customHeight="1" x14ac:dyDescent="0.25">
      <c r="A51" s="642">
        <v>46</v>
      </c>
      <c r="B51" s="647" t="s">
        <v>179</v>
      </c>
      <c r="C51" s="648" t="s">
        <v>180</v>
      </c>
      <c r="D51" s="645">
        <f t="shared" si="2"/>
        <v>606</v>
      </c>
      <c r="E51" s="645">
        <v>606</v>
      </c>
      <c r="F51" s="642"/>
      <c r="G51" s="642"/>
      <c r="H51" s="642"/>
      <c r="I51" s="642"/>
      <c r="J51" s="642"/>
      <c r="K51" s="642"/>
      <c r="L51" s="642"/>
    </row>
    <row r="52" spans="1:12" s="640" customFormat="1" ht="11.25" customHeight="1" x14ac:dyDescent="0.25">
      <c r="A52" s="642">
        <v>47</v>
      </c>
      <c r="B52" s="643" t="s">
        <v>181</v>
      </c>
      <c r="C52" s="646" t="s">
        <v>182</v>
      </c>
      <c r="D52" s="645">
        <f t="shared" si="2"/>
        <v>1224</v>
      </c>
      <c r="E52" s="645">
        <v>1224</v>
      </c>
      <c r="F52" s="642"/>
      <c r="G52" s="642"/>
      <c r="H52" s="642"/>
      <c r="I52" s="642"/>
      <c r="J52" s="642"/>
      <c r="K52" s="642"/>
      <c r="L52" s="642"/>
    </row>
    <row r="53" spans="1:12" s="640" customFormat="1" ht="11.25" customHeight="1" x14ac:dyDescent="0.25">
      <c r="A53" s="642">
        <v>48</v>
      </c>
      <c r="B53" s="647" t="s">
        <v>183</v>
      </c>
      <c r="C53" s="648" t="s">
        <v>184</v>
      </c>
      <c r="D53" s="645">
        <f t="shared" si="2"/>
        <v>1893</v>
      </c>
      <c r="E53" s="645">
        <v>1893</v>
      </c>
      <c r="F53" s="642"/>
      <c r="G53" s="642"/>
      <c r="H53" s="642"/>
      <c r="I53" s="642"/>
      <c r="J53" s="642"/>
      <c r="K53" s="642"/>
      <c r="L53" s="642"/>
    </row>
    <row r="54" spans="1:12" s="640" customFormat="1" ht="11.25" customHeight="1" x14ac:dyDescent="0.25">
      <c r="A54" s="642">
        <v>49</v>
      </c>
      <c r="B54" s="643" t="s">
        <v>185</v>
      </c>
      <c r="C54" s="646" t="s">
        <v>186</v>
      </c>
      <c r="D54" s="645">
        <f t="shared" si="2"/>
        <v>6569</v>
      </c>
      <c r="E54" s="645">
        <v>6569</v>
      </c>
      <c r="F54" s="642"/>
      <c r="G54" s="642"/>
      <c r="H54" s="642"/>
      <c r="I54" s="642">
        <v>20</v>
      </c>
      <c r="J54" s="642"/>
      <c r="K54" s="642"/>
      <c r="L54" s="642"/>
    </row>
    <row r="55" spans="1:12" s="640" customFormat="1" ht="11.25" customHeight="1" x14ac:dyDescent="0.25">
      <c r="A55" s="642">
        <v>50</v>
      </c>
      <c r="B55" s="647" t="s">
        <v>187</v>
      </c>
      <c r="C55" s="648" t="s">
        <v>188</v>
      </c>
      <c r="D55" s="645">
        <f t="shared" si="2"/>
        <v>1010</v>
      </c>
      <c r="E55" s="645">
        <v>1010</v>
      </c>
      <c r="F55" s="642"/>
      <c r="G55" s="642"/>
      <c r="H55" s="642"/>
      <c r="I55" s="642"/>
      <c r="J55" s="642"/>
      <c r="K55" s="642"/>
      <c r="L55" s="642"/>
    </row>
    <row r="56" spans="1:12" s="640" customFormat="1" ht="11.25" customHeight="1" x14ac:dyDescent="0.25">
      <c r="A56" s="642">
        <v>51</v>
      </c>
      <c r="B56" s="647" t="s">
        <v>189</v>
      </c>
      <c r="C56" s="648" t="s">
        <v>190</v>
      </c>
      <c r="D56" s="645"/>
      <c r="E56" s="645"/>
      <c r="F56" s="642"/>
      <c r="G56" s="642"/>
      <c r="H56" s="642"/>
      <c r="I56" s="642"/>
      <c r="J56" s="642"/>
      <c r="K56" s="642"/>
      <c r="L56" s="642"/>
    </row>
    <row r="57" spans="1:12" s="640" customFormat="1" ht="11.25" customHeight="1" x14ac:dyDescent="0.25">
      <c r="A57" s="642">
        <v>52</v>
      </c>
      <c r="B57" s="647">
        <v>29179</v>
      </c>
      <c r="C57" s="648" t="s">
        <v>192</v>
      </c>
      <c r="D57" s="645">
        <f t="shared" ref="D57:D62" si="3">E57+K57+L57</f>
        <v>356</v>
      </c>
      <c r="E57" s="645"/>
      <c r="F57" s="642"/>
      <c r="G57" s="642"/>
      <c r="H57" s="642"/>
      <c r="I57" s="642"/>
      <c r="J57" s="642"/>
      <c r="K57" s="642"/>
      <c r="L57" s="642">
        <v>356</v>
      </c>
    </row>
    <row r="58" spans="1:12" s="640" customFormat="1" ht="11.25" customHeight="1" x14ac:dyDescent="0.25">
      <c r="A58" s="642">
        <v>53</v>
      </c>
      <c r="B58" s="647" t="s">
        <v>22</v>
      </c>
      <c r="C58" s="648" t="s">
        <v>23</v>
      </c>
      <c r="D58" s="645">
        <f t="shared" si="3"/>
        <v>2144</v>
      </c>
      <c r="E58" s="645">
        <v>2144</v>
      </c>
      <c r="F58" s="642"/>
      <c r="G58" s="642"/>
      <c r="H58" s="642"/>
      <c r="I58" s="642"/>
      <c r="J58" s="642"/>
      <c r="K58" s="642"/>
      <c r="L58" s="642"/>
    </row>
    <row r="59" spans="1:12" s="640" customFormat="1" ht="11.25" customHeight="1" x14ac:dyDescent="0.25">
      <c r="A59" s="642">
        <v>54</v>
      </c>
      <c r="B59" s="647" t="s">
        <v>24</v>
      </c>
      <c r="C59" s="648" t="s">
        <v>25</v>
      </c>
      <c r="D59" s="645">
        <f t="shared" si="3"/>
        <v>1686</v>
      </c>
      <c r="E59" s="645">
        <v>1686</v>
      </c>
      <c r="F59" s="642"/>
      <c r="G59" s="642"/>
      <c r="H59" s="642"/>
      <c r="I59" s="642"/>
      <c r="J59" s="642"/>
      <c r="K59" s="642"/>
      <c r="L59" s="642"/>
    </row>
    <row r="60" spans="1:12" s="640" customFormat="1" ht="11.25" customHeight="1" x14ac:dyDescent="0.25">
      <c r="A60" s="642">
        <v>55</v>
      </c>
      <c r="B60" s="647" t="s">
        <v>193</v>
      </c>
      <c r="C60" s="648" t="s">
        <v>583</v>
      </c>
      <c r="D60" s="645">
        <f t="shared" si="3"/>
        <v>2387</v>
      </c>
      <c r="E60" s="645">
        <v>2387</v>
      </c>
      <c r="F60" s="642"/>
      <c r="G60" s="642"/>
      <c r="H60" s="642"/>
      <c r="I60" s="642"/>
      <c r="J60" s="642"/>
      <c r="K60" s="642"/>
      <c r="L60" s="642"/>
    </row>
    <row r="61" spans="1:12" s="640" customFormat="1" ht="11.25" customHeight="1" x14ac:dyDescent="0.25">
      <c r="A61" s="642">
        <v>56</v>
      </c>
      <c r="B61" s="643" t="s">
        <v>26</v>
      </c>
      <c r="C61" s="648" t="s">
        <v>27</v>
      </c>
      <c r="D61" s="645">
        <f t="shared" si="3"/>
        <v>3064</v>
      </c>
      <c r="E61" s="645">
        <v>3064</v>
      </c>
      <c r="F61" s="642"/>
      <c r="G61" s="642"/>
      <c r="H61" s="642"/>
      <c r="I61" s="642"/>
      <c r="J61" s="642"/>
      <c r="K61" s="642"/>
      <c r="L61" s="642"/>
    </row>
    <row r="62" spans="1:12" s="640" customFormat="1" ht="12" customHeight="1" x14ac:dyDescent="0.25">
      <c r="A62" s="642">
        <v>57</v>
      </c>
      <c r="B62" s="649" t="s">
        <v>28</v>
      </c>
      <c r="C62" s="11" t="s">
        <v>29</v>
      </c>
      <c r="D62" s="645">
        <f t="shared" si="3"/>
        <v>1858</v>
      </c>
      <c r="E62" s="645">
        <v>1858</v>
      </c>
      <c r="F62" s="642"/>
      <c r="G62" s="642"/>
      <c r="H62" s="642"/>
      <c r="I62" s="642"/>
      <c r="J62" s="642"/>
      <c r="K62" s="642"/>
      <c r="L62" s="642"/>
    </row>
    <row r="63" spans="1:12" s="640" customFormat="1" ht="11.25" customHeight="1" x14ac:dyDescent="0.25">
      <c r="A63" s="642">
        <v>58</v>
      </c>
      <c r="B63" s="643" t="s">
        <v>196</v>
      </c>
      <c r="C63" s="648" t="s">
        <v>197</v>
      </c>
      <c r="D63" s="645"/>
      <c r="E63" s="645"/>
      <c r="F63" s="642"/>
      <c r="G63" s="642"/>
      <c r="H63" s="642"/>
      <c r="I63" s="642"/>
      <c r="J63" s="642"/>
      <c r="K63" s="642"/>
      <c r="L63" s="642"/>
    </row>
    <row r="64" spans="1:12" s="640" customFormat="1" ht="11.25" customHeight="1" x14ac:dyDescent="0.25">
      <c r="A64" s="642">
        <v>59</v>
      </c>
      <c r="B64" s="647" t="s">
        <v>198</v>
      </c>
      <c r="C64" s="648" t="s">
        <v>199</v>
      </c>
      <c r="D64" s="645"/>
      <c r="E64" s="645"/>
      <c r="F64" s="642"/>
      <c r="G64" s="642"/>
      <c r="H64" s="642"/>
      <c r="I64" s="642"/>
      <c r="J64" s="642"/>
      <c r="K64" s="642"/>
      <c r="L64" s="642"/>
    </row>
    <row r="65" spans="1:12" s="640" customFormat="1" ht="11.25" customHeight="1" x14ac:dyDescent="0.25">
      <c r="A65" s="642">
        <v>60</v>
      </c>
      <c r="B65" s="643" t="s">
        <v>62</v>
      </c>
      <c r="C65" s="648" t="s">
        <v>200</v>
      </c>
      <c r="D65" s="645">
        <f>E65+K65+L65</f>
        <v>4238</v>
      </c>
      <c r="E65" s="645">
        <v>4238</v>
      </c>
      <c r="F65" s="642"/>
      <c r="G65" s="642"/>
      <c r="H65" s="642"/>
      <c r="I65" s="642"/>
      <c r="J65" s="642"/>
      <c r="K65" s="642"/>
      <c r="L65" s="642"/>
    </row>
    <row r="66" spans="1:12" s="640" customFormat="1" ht="11.25" customHeight="1" x14ac:dyDescent="0.25">
      <c r="A66" s="642">
        <v>61</v>
      </c>
      <c r="B66" s="643" t="s">
        <v>64</v>
      </c>
      <c r="C66" s="648" t="s">
        <v>201</v>
      </c>
      <c r="D66" s="645">
        <f>E66+K66+L66</f>
        <v>2652</v>
      </c>
      <c r="E66" s="645">
        <v>2352</v>
      </c>
      <c r="F66" s="642"/>
      <c r="G66" s="642"/>
      <c r="H66" s="642"/>
      <c r="I66" s="642"/>
      <c r="J66" s="642"/>
      <c r="K66" s="642"/>
      <c r="L66" s="642">
        <v>300</v>
      </c>
    </row>
    <row r="67" spans="1:12" s="640" customFormat="1" ht="11.25" customHeight="1" x14ac:dyDescent="0.25">
      <c r="A67" s="642">
        <v>62</v>
      </c>
      <c r="B67" s="643" t="s">
        <v>66</v>
      </c>
      <c r="C67" s="648" t="s">
        <v>202</v>
      </c>
      <c r="D67" s="645">
        <f>E67+K67+L67</f>
        <v>5695</v>
      </c>
      <c r="E67" s="645">
        <v>5695</v>
      </c>
      <c r="F67" s="642">
        <f>32-32</f>
        <v>0</v>
      </c>
      <c r="G67" s="642"/>
      <c r="H67" s="642"/>
      <c r="I67" s="642"/>
      <c r="J67" s="642"/>
      <c r="K67" s="642"/>
      <c r="L67" s="642"/>
    </row>
    <row r="68" spans="1:12" s="640" customFormat="1" ht="11.25" customHeight="1" x14ac:dyDescent="0.25">
      <c r="A68" s="642">
        <v>63</v>
      </c>
      <c r="B68" s="643" t="s">
        <v>203</v>
      </c>
      <c r="C68" s="648" t="s">
        <v>204</v>
      </c>
      <c r="D68" s="645"/>
      <c r="E68" s="645"/>
      <c r="F68" s="642"/>
      <c r="G68" s="642"/>
      <c r="H68" s="642"/>
      <c r="I68" s="642"/>
      <c r="J68" s="642"/>
      <c r="K68" s="642"/>
      <c r="L68" s="642"/>
    </row>
    <row r="69" spans="1:12" s="640" customFormat="1" ht="11.25" customHeight="1" x14ac:dyDescent="0.25">
      <c r="A69" s="642">
        <v>64</v>
      </c>
      <c r="B69" s="643" t="s">
        <v>205</v>
      </c>
      <c r="C69" s="648" t="s">
        <v>206</v>
      </c>
      <c r="D69" s="645"/>
      <c r="E69" s="645"/>
      <c r="F69" s="642"/>
      <c r="G69" s="642"/>
      <c r="H69" s="642"/>
      <c r="I69" s="642"/>
      <c r="J69" s="642"/>
      <c r="K69" s="642"/>
      <c r="L69" s="642"/>
    </row>
    <row r="70" spans="1:12" s="640" customFormat="1" ht="11.25" customHeight="1" x14ac:dyDescent="0.25">
      <c r="A70" s="642">
        <v>65</v>
      </c>
      <c r="B70" s="643" t="s">
        <v>207</v>
      </c>
      <c r="C70" s="648" t="s">
        <v>208</v>
      </c>
      <c r="D70" s="645"/>
      <c r="E70" s="645"/>
      <c r="F70" s="642"/>
      <c r="G70" s="642"/>
      <c r="H70" s="642"/>
      <c r="I70" s="642"/>
      <c r="J70" s="642"/>
      <c r="K70" s="642"/>
      <c r="L70" s="642"/>
    </row>
    <row r="71" spans="1:12" s="640" customFormat="1" ht="11.25" customHeight="1" x14ac:dyDescent="0.25">
      <c r="A71" s="642">
        <v>66</v>
      </c>
      <c r="B71" s="643" t="s">
        <v>209</v>
      </c>
      <c r="C71" s="648" t="s">
        <v>210</v>
      </c>
      <c r="D71" s="645"/>
      <c r="E71" s="645"/>
      <c r="F71" s="642"/>
      <c r="G71" s="642"/>
      <c r="H71" s="642"/>
      <c r="I71" s="642"/>
      <c r="J71" s="642"/>
      <c r="K71" s="642"/>
      <c r="L71" s="642"/>
    </row>
    <row r="72" spans="1:12" s="640" customFormat="1" ht="11.25" customHeight="1" x14ac:dyDescent="0.25">
      <c r="A72" s="642">
        <v>67</v>
      </c>
      <c r="B72" s="647" t="s">
        <v>211</v>
      </c>
      <c r="C72" s="648" t="s">
        <v>212</v>
      </c>
      <c r="D72" s="645"/>
      <c r="E72" s="645"/>
      <c r="F72" s="642"/>
      <c r="G72" s="642"/>
      <c r="H72" s="642"/>
      <c r="I72" s="642"/>
      <c r="J72" s="642"/>
      <c r="K72" s="642"/>
      <c r="L72" s="642"/>
    </row>
    <row r="73" spans="1:12" s="640" customFormat="1" ht="11.25" customHeight="1" x14ac:dyDescent="0.25">
      <c r="A73" s="642">
        <v>68</v>
      </c>
      <c r="B73" s="643" t="s">
        <v>213</v>
      </c>
      <c r="C73" s="646" t="s">
        <v>214</v>
      </c>
      <c r="D73" s="645"/>
      <c r="E73" s="645"/>
      <c r="F73" s="642"/>
      <c r="G73" s="642"/>
      <c r="H73" s="642"/>
      <c r="I73" s="642"/>
      <c r="J73" s="642"/>
      <c r="K73" s="642"/>
      <c r="L73" s="642"/>
    </row>
    <row r="74" spans="1:12" s="640" customFormat="1" ht="11.25" customHeight="1" x14ac:dyDescent="0.25">
      <c r="A74" s="642">
        <v>69</v>
      </c>
      <c r="B74" s="647" t="s">
        <v>215</v>
      </c>
      <c r="C74" s="648" t="s">
        <v>216</v>
      </c>
      <c r="D74" s="645"/>
      <c r="E74" s="645"/>
      <c r="F74" s="642"/>
      <c r="G74" s="642"/>
      <c r="H74" s="642"/>
      <c r="I74" s="642"/>
      <c r="J74" s="642"/>
      <c r="K74" s="642"/>
      <c r="L74" s="642"/>
    </row>
    <row r="75" spans="1:12" s="640" customFormat="1" ht="11.25" customHeight="1" x14ac:dyDescent="0.25">
      <c r="A75" s="642">
        <v>70</v>
      </c>
      <c r="B75" s="643" t="s">
        <v>217</v>
      </c>
      <c r="C75" s="648" t="s">
        <v>218</v>
      </c>
      <c r="D75" s="645">
        <f t="shared" ref="D75:D82" si="4">E75+K75+L75</f>
        <v>4521</v>
      </c>
      <c r="E75" s="645">
        <v>4521</v>
      </c>
      <c r="F75" s="642"/>
      <c r="G75" s="642"/>
      <c r="H75" s="642"/>
      <c r="I75" s="642"/>
      <c r="J75" s="642"/>
      <c r="K75" s="642"/>
      <c r="L75" s="642"/>
    </row>
    <row r="76" spans="1:12" s="640" customFormat="1" ht="11.25" customHeight="1" x14ac:dyDescent="0.25">
      <c r="A76" s="642">
        <v>71</v>
      </c>
      <c r="B76" s="647" t="s">
        <v>50</v>
      </c>
      <c r="C76" s="648" t="s">
        <v>219</v>
      </c>
      <c r="D76" s="645">
        <f t="shared" si="4"/>
        <v>8239</v>
      </c>
      <c r="E76" s="645">
        <v>7839</v>
      </c>
      <c r="F76" s="642"/>
      <c r="G76" s="642"/>
      <c r="H76" s="642"/>
      <c r="I76" s="642"/>
      <c r="J76" s="642"/>
      <c r="K76" s="642"/>
      <c r="L76" s="642">
        <v>400</v>
      </c>
    </row>
    <row r="77" spans="1:12" s="640" customFormat="1" ht="11.25" customHeight="1" x14ac:dyDescent="0.25">
      <c r="A77" s="642">
        <v>72</v>
      </c>
      <c r="B77" s="647" t="s">
        <v>52</v>
      </c>
      <c r="C77" s="648" t="s">
        <v>220</v>
      </c>
      <c r="D77" s="645">
        <f t="shared" si="4"/>
        <v>5791</v>
      </c>
      <c r="E77" s="645">
        <v>5519</v>
      </c>
      <c r="F77" s="642"/>
      <c r="G77" s="642"/>
      <c r="H77" s="642"/>
      <c r="I77" s="642"/>
      <c r="J77" s="642"/>
      <c r="K77" s="642"/>
      <c r="L77" s="642">
        <v>272</v>
      </c>
    </row>
    <row r="78" spans="1:12" s="640" customFormat="1" ht="11.25" customHeight="1" x14ac:dyDescent="0.25">
      <c r="A78" s="642">
        <v>73</v>
      </c>
      <c r="B78" s="844" t="s">
        <v>44</v>
      </c>
      <c r="C78" s="656" t="s">
        <v>221</v>
      </c>
      <c r="D78" s="645">
        <f t="shared" si="4"/>
        <v>2806</v>
      </c>
      <c r="E78" s="645">
        <v>2806</v>
      </c>
      <c r="F78" s="642"/>
      <c r="G78" s="642"/>
      <c r="H78" s="642"/>
      <c r="I78" s="642"/>
      <c r="J78" s="642"/>
      <c r="K78" s="642"/>
      <c r="L78" s="642"/>
    </row>
    <row r="79" spans="1:12" s="640" customFormat="1" ht="11.25" customHeight="1" x14ac:dyDescent="0.25">
      <c r="A79" s="642">
        <v>74</v>
      </c>
      <c r="B79" s="643" t="s">
        <v>54</v>
      </c>
      <c r="C79" s="648" t="s">
        <v>222</v>
      </c>
      <c r="D79" s="645">
        <f t="shared" si="4"/>
        <v>8409</v>
      </c>
      <c r="E79" s="645">
        <v>7911</v>
      </c>
      <c r="F79" s="642">
        <v>475</v>
      </c>
      <c r="G79" s="642"/>
      <c r="H79" s="642"/>
      <c r="I79" s="642"/>
      <c r="J79" s="642"/>
      <c r="K79" s="642"/>
      <c r="L79" s="642">
        <v>498</v>
      </c>
    </row>
    <row r="80" spans="1:12" s="640" customFormat="1" ht="11.25" customHeight="1" x14ac:dyDescent="0.25">
      <c r="A80" s="642">
        <v>75</v>
      </c>
      <c r="B80" s="643" t="s">
        <v>36</v>
      </c>
      <c r="C80" s="648" t="s">
        <v>37</v>
      </c>
      <c r="D80" s="645">
        <f t="shared" si="4"/>
        <v>1999</v>
      </c>
      <c r="E80" s="645">
        <v>1763</v>
      </c>
      <c r="F80" s="642"/>
      <c r="G80" s="642"/>
      <c r="H80" s="642"/>
      <c r="I80" s="642"/>
      <c r="J80" s="642"/>
      <c r="K80" s="642"/>
      <c r="L80" s="642">
        <v>236</v>
      </c>
    </row>
    <row r="81" spans="1:12" s="640" customFormat="1" ht="11.25" customHeight="1" x14ac:dyDescent="0.25">
      <c r="A81" s="642">
        <v>76</v>
      </c>
      <c r="B81" s="643" t="s">
        <v>48</v>
      </c>
      <c r="C81" s="648" t="s">
        <v>223</v>
      </c>
      <c r="D81" s="645">
        <f t="shared" si="4"/>
        <v>5700</v>
      </c>
      <c r="E81" s="645">
        <v>5700</v>
      </c>
      <c r="F81" s="642"/>
      <c r="G81" s="642"/>
      <c r="H81" s="642"/>
      <c r="I81" s="642"/>
      <c r="J81" s="642"/>
      <c r="K81" s="642"/>
      <c r="L81" s="642"/>
    </row>
    <row r="82" spans="1:12" s="640" customFormat="1" ht="11.25" customHeight="1" x14ac:dyDescent="0.25">
      <c r="A82" s="642">
        <v>77</v>
      </c>
      <c r="B82" s="643" t="s">
        <v>224</v>
      </c>
      <c r="C82" s="648" t="s">
        <v>225</v>
      </c>
      <c r="D82" s="645">
        <f t="shared" si="4"/>
        <v>800</v>
      </c>
      <c r="E82" s="645">
        <v>800</v>
      </c>
      <c r="F82" s="642"/>
      <c r="G82" s="642"/>
      <c r="H82" s="642"/>
      <c r="I82" s="642"/>
      <c r="J82" s="642"/>
      <c r="K82" s="642"/>
      <c r="L82" s="642"/>
    </row>
    <row r="83" spans="1:12" s="640" customFormat="1" ht="11.25" customHeight="1" x14ac:dyDescent="0.25">
      <c r="A83" s="642">
        <v>78</v>
      </c>
      <c r="B83" s="643" t="s">
        <v>226</v>
      </c>
      <c r="C83" s="749" t="s">
        <v>227</v>
      </c>
      <c r="D83" s="645"/>
      <c r="E83" s="645"/>
      <c r="F83" s="642"/>
      <c r="G83" s="642"/>
      <c r="H83" s="642"/>
      <c r="I83" s="642"/>
      <c r="J83" s="642"/>
      <c r="K83" s="642"/>
      <c r="L83" s="642"/>
    </row>
    <row r="84" spans="1:12" s="640" customFormat="1" ht="11.25" customHeight="1" x14ac:dyDescent="0.25">
      <c r="A84" s="843">
        <v>79</v>
      </c>
      <c r="B84" s="844" t="s">
        <v>228</v>
      </c>
      <c r="C84" s="648" t="s">
        <v>573</v>
      </c>
      <c r="D84" s="645">
        <f>E84+K84+L84</f>
        <v>5332</v>
      </c>
      <c r="E84" s="645">
        <v>5332</v>
      </c>
      <c r="F84" s="642"/>
      <c r="G84" s="642"/>
      <c r="H84" s="642"/>
      <c r="I84" s="642"/>
      <c r="J84" s="642"/>
      <c r="K84" s="642"/>
      <c r="L84" s="642"/>
    </row>
    <row r="85" spans="1:12" s="640" customFormat="1" ht="11.25" customHeight="1" x14ac:dyDescent="0.25">
      <c r="A85" s="642">
        <v>80</v>
      </c>
      <c r="B85" s="647" t="s">
        <v>233</v>
      </c>
      <c r="C85" s="648" t="s">
        <v>234</v>
      </c>
      <c r="D85" s="645"/>
      <c r="E85" s="645"/>
      <c r="F85" s="642"/>
      <c r="G85" s="642"/>
      <c r="H85" s="642"/>
      <c r="I85" s="642"/>
      <c r="J85" s="642"/>
      <c r="K85" s="642"/>
      <c r="L85" s="642"/>
    </row>
    <row r="86" spans="1:12" s="640" customFormat="1" ht="11.25" customHeight="1" x14ac:dyDescent="0.25">
      <c r="A86" s="642">
        <v>81</v>
      </c>
      <c r="B86" s="643" t="s">
        <v>235</v>
      </c>
      <c r="C86" s="648" t="s">
        <v>236</v>
      </c>
      <c r="D86" s="645">
        <f t="shared" ref="D86:D102" si="5">E86+K86+L86</f>
        <v>242</v>
      </c>
      <c r="E86" s="645">
        <v>242</v>
      </c>
      <c r="F86" s="642"/>
      <c r="G86" s="642"/>
      <c r="H86" s="642"/>
      <c r="I86" s="642"/>
      <c r="J86" s="642"/>
      <c r="K86" s="642"/>
      <c r="L86" s="642"/>
    </row>
    <row r="87" spans="1:12" s="640" customFormat="1" ht="11.25" customHeight="1" x14ac:dyDescent="0.25">
      <c r="A87" s="642">
        <v>82</v>
      </c>
      <c r="B87" s="647" t="s">
        <v>74</v>
      </c>
      <c r="C87" s="648" t="s">
        <v>237</v>
      </c>
      <c r="D87" s="645">
        <f t="shared" si="5"/>
        <v>1968</v>
      </c>
      <c r="E87" s="645">
        <v>1538</v>
      </c>
      <c r="F87" s="642"/>
      <c r="G87" s="642"/>
      <c r="H87" s="642"/>
      <c r="I87" s="642"/>
      <c r="J87" s="642"/>
      <c r="K87" s="642"/>
      <c r="L87" s="642">
        <v>430</v>
      </c>
    </row>
    <row r="88" spans="1:12" s="640" customFormat="1" ht="11.25" customHeight="1" x14ac:dyDescent="0.25">
      <c r="A88" s="642">
        <v>83</v>
      </c>
      <c r="B88" s="649" t="s">
        <v>38</v>
      </c>
      <c r="C88" s="650" t="s">
        <v>39</v>
      </c>
      <c r="D88" s="645">
        <f t="shared" si="5"/>
        <v>853</v>
      </c>
      <c r="E88" s="645">
        <v>853</v>
      </c>
      <c r="F88" s="642"/>
      <c r="G88" s="642"/>
      <c r="H88" s="642"/>
      <c r="I88" s="642"/>
      <c r="J88" s="642"/>
      <c r="K88" s="642"/>
      <c r="L88" s="642"/>
    </row>
    <row r="89" spans="1:12" s="640" customFormat="1" ht="11.25" customHeight="1" x14ac:dyDescent="0.25">
      <c r="A89" s="642">
        <v>84</v>
      </c>
      <c r="B89" s="643" t="s">
        <v>40</v>
      </c>
      <c r="C89" s="648" t="s">
        <v>41</v>
      </c>
      <c r="D89" s="645">
        <f t="shared" si="5"/>
        <v>881</v>
      </c>
      <c r="E89" s="645">
        <v>881</v>
      </c>
      <c r="F89" s="642"/>
      <c r="G89" s="642"/>
      <c r="H89" s="642"/>
      <c r="I89" s="642"/>
      <c r="J89" s="642"/>
      <c r="K89" s="642"/>
      <c r="L89" s="642"/>
    </row>
    <row r="90" spans="1:12" s="640" customFormat="1" ht="11.25" customHeight="1" x14ac:dyDescent="0.25">
      <c r="A90" s="642">
        <v>85</v>
      </c>
      <c r="B90" s="643" t="s">
        <v>238</v>
      </c>
      <c r="C90" s="648" t="s">
        <v>239</v>
      </c>
      <c r="D90" s="645">
        <f t="shared" si="5"/>
        <v>2479</v>
      </c>
      <c r="E90" s="645">
        <v>2479</v>
      </c>
      <c r="F90" s="642"/>
      <c r="G90" s="642"/>
      <c r="H90" s="642"/>
      <c r="I90" s="642"/>
      <c r="J90" s="642"/>
      <c r="K90" s="642"/>
      <c r="L90" s="642"/>
    </row>
    <row r="91" spans="1:12" s="640" customFormat="1" ht="11.25" customHeight="1" x14ac:dyDescent="0.25">
      <c r="A91" s="642">
        <v>86</v>
      </c>
      <c r="B91" s="649" t="s">
        <v>240</v>
      </c>
      <c r="C91" s="650" t="s">
        <v>241</v>
      </c>
      <c r="D91" s="645">
        <f t="shared" si="5"/>
        <v>1050</v>
      </c>
      <c r="E91" s="645">
        <v>1050</v>
      </c>
      <c r="F91" s="642"/>
      <c r="G91" s="642"/>
      <c r="H91" s="642"/>
      <c r="I91" s="642"/>
      <c r="J91" s="642"/>
      <c r="K91" s="642"/>
      <c r="L91" s="642"/>
    </row>
    <row r="92" spans="1:12" s="640" customFormat="1" ht="11.25" customHeight="1" x14ac:dyDescent="0.25">
      <c r="A92" s="642">
        <v>87</v>
      </c>
      <c r="B92" s="643" t="s">
        <v>88</v>
      </c>
      <c r="C92" s="648" t="s">
        <v>89</v>
      </c>
      <c r="D92" s="645">
        <f t="shared" si="5"/>
        <v>1283</v>
      </c>
      <c r="E92" s="645">
        <v>1283</v>
      </c>
      <c r="F92" s="642"/>
      <c r="G92" s="642"/>
      <c r="H92" s="642"/>
      <c r="I92" s="642"/>
      <c r="J92" s="642"/>
      <c r="K92" s="642"/>
      <c r="L92" s="642"/>
    </row>
    <row r="93" spans="1:12" s="640" customFormat="1" ht="11.25" customHeight="1" x14ac:dyDescent="0.25">
      <c r="A93" s="642">
        <v>88</v>
      </c>
      <c r="B93" s="649" t="s">
        <v>242</v>
      </c>
      <c r="C93" s="650" t="s">
        <v>243</v>
      </c>
      <c r="D93" s="645">
        <f t="shared" si="5"/>
        <v>3039</v>
      </c>
      <c r="E93" s="645">
        <v>3039</v>
      </c>
      <c r="F93" s="642"/>
      <c r="G93" s="642"/>
      <c r="H93" s="642"/>
      <c r="I93" s="642"/>
      <c r="J93" s="642"/>
      <c r="K93" s="642"/>
      <c r="L93" s="642"/>
    </row>
    <row r="94" spans="1:12" s="640" customFormat="1" ht="11.25" customHeight="1" x14ac:dyDescent="0.25">
      <c r="A94" s="642">
        <v>89</v>
      </c>
      <c r="B94" s="643" t="s">
        <v>244</v>
      </c>
      <c r="C94" s="648" t="s">
        <v>245</v>
      </c>
      <c r="D94" s="645">
        <f t="shared" si="5"/>
        <v>2297</v>
      </c>
      <c r="E94" s="645">
        <v>2297</v>
      </c>
      <c r="F94" s="642"/>
      <c r="G94" s="642"/>
      <c r="H94" s="642"/>
      <c r="I94" s="642"/>
      <c r="J94" s="642"/>
      <c r="K94" s="642"/>
      <c r="L94" s="642"/>
    </row>
    <row r="95" spans="1:12" s="640" customFormat="1" ht="11.25" customHeight="1" x14ac:dyDescent="0.25">
      <c r="A95" s="642">
        <v>90</v>
      </c>
      <c r="B95" s="647" t="s">
        <v>246</v>
      </c>
      <c r="C95" s="648" t="s">
        <v>247</v>
      </c>
      <c r="D95" s="645">
        <f t="shared" si="5"/>
        <v>799</v>
      </c>
      <c r="E95" s="645">
        <v>799</v>
      </c>
      <c r="F95" s="642"/>
      <c r="G95" s="642"/>
      <c r="H95" s="642"/>
      <c r="I95" s="642"/>
      <c r="J95" s="642"/>
      <c r="K95" s="642"/>
      <c r="L95" s="642"/>
    </row>
    <row r="96" spans="1:12" s="640" customFormat="1" ht="11.25" customHeight="1" x14ac:dyDescent="0.25">
      <c r="A96" s="642">
        <v>91</v>
      </c>
      <c r="B96" s="643" t="s">
        <v>248</v>
      </c>
      <c r="C96" s="646" t="s">
        <v>249</v>
      </c>
      <c r="D96" s="645">
        <f t="shared" si="5"/>
        <v>1245</v>
      </c>
      <c r="E96" s="645">
        <v>1245</v>
      </c>
      <c r="F96" s="642"/>
      <c r="G96" s="642"/>
      <c r="H96" s="642"/>
      <c r="I96" s="642"/>
      <c r="J96" s="642"/>
      <c r="K96" s="642"/>
      <c r="L96" s="642"/>
    </row>
    <row r="97" spans="1:12" s="640" customFormat="1" ht="11.25" customHeight="1" x14ac:dyDescent="0.25">
      <c r="A97" s="642">
        <v>92</v>
      </c>
      <c r="B97" s="643" t="s">
        <v>250</v>
      </c>
      <c r="C97" s="650" t="s">
        <v>251</v>
      </c>
      <c r="D97" s="645">
        <f t="shared" si="5"/>
        <v>1198</v>
      </c>
      <c r="E97" s="645">
        <v>1198</v>
      </c>
      <c r="F97" s="642"/>
      <c r="G97" s="642"/>
      <c r="H97" s="642"/>
      <c r="I97" s="642"/>
      <c r="J97" s="642"/>
      <c r="K97" s="642"/>
      <c r="L97" s="642"/>
    </row>
    <row r="98" spans="1:12" s="640" customFormat="1" ht="11.25" customHeight="1" x14ac:dyDescent="0.25">
      <c r="A98" s="642">
        <v>93</v>
      </c>
      <c r="B98" s="647" t="s">
        <v>32</v>
      </c>
      <c r="C98" s="648" t="s">
        <v>33</v>
      </c>
      <c r="D98" s="645">
        <f t="shared" si="5"/>
        <v>1510</v>
      </c>
      <c r="E98" s="645">
        <v>1480</v>
      </c>
      <c r="F98" s="642">
        <v>7</v>
      </c>
      <c r="G98" s="642"/>
      <c r="H98" s="642"/>
      <c r="I98" s="642">
        <v>10</v>
      </c>
      <c r="J98" s="642"/>
      <c r="K98" s="642"/>
      <c r="L98" s="642">
        <v>30</v>
      </c>
    </row>
    <row r="99" spans="1:12" s="640" customFormat="1" ht="11.25" customHeight="1" x14ac:dyDescent="0.25">
      <c r="A99" s="642">
        <v>94</v>
      </c>
      <c r="B99" s="643" t="s">
        <v>252</v>
      </c>
      <c r="C99" s="657" t="s">
        <v>253</v>
      </c>
      <c r="D99" s="645">
        <f t="shared" si="5"/>
        <v>921</v>
      </c>
      <c r="E99" s="645">
        <v>921</v>
      </c>
      <c r="F99" s="642"/>
      <c r="G99" s="642"/>
      <c r="H99" s="642"/>
      <c r="I99" s="642"/>
      <c r="J99" s="642"/>
      <c r="K99" s="642"/>
      <c r="L99" s="642"/>
    </row>
    <row r="100" spans="1:12" s="640" customFormat="1" ht="11.25" customHeight="1" x14ac:dyDescent="0.25">
      <c r="A100" s="642">
        <v>95</v>
      </c>
      <c r="B100" s="647" t="s">
        <v>254</v>
      </c>
      <c r="C100" s="648" t="s">
        <v>255</v>
      </c>
      <c r="D100" s="645">
        <f t="shared" si="5"/>
        <v>1353</v>
      </c>
      <c r="E100" s="645">
        <v>1353</v>
      </c>
      <c r="F100" s="642"/>
      <c r="G100" s="642"/>
      <c r="H100" s="642"/>
      <c r="I100" s="642"/>
      <c r="J100" s="642"/>
      <c r="K100" s="642"/>
      <c r="L100" s="642"/>
    </row>
    <row r="101" spans="1:12" s="640" customFormat="1" ht="11.25" customHeight="1" x14ac:dyDescent="0.25">
      <c r="A101" s="642">
        <v>96</v>
      </c>
      <c r="B101" s="647" t="s">
        <v>256</v>
      </c>
      <c r="C101" s="648" t="s">
        <v>257</v>
      </c>
      <c r="D101" s="645">
        <f t="shared" si="5"/>
        <v>2370</v>
      </c>
      <c r="E101" s="645">
        <v>2370</v>
      </c>
      <c r="F101" s="642"/>
      <c r="G101" s="642"/>
      <c r="H101" s="642"/>
      <c r="I101" s="642"/>
      <c r="J101" s="642"/>
      <c r="K101" s="642"/>
      <c r="L101" s="642"/>
    </row>
    <row r="102" spans="1:12" s="640" customFormat="1" ht="11.25" customHeight="1" x14ac:dyDescent="0.25">
      <c r="A102" s="642">
        <v>97</v>
      </c>
      <c r="B102" s="643" t="s">
        <v>76</v>
      </c>
      <c r="C102" s="650" t="s">
        <v>77</v>
      </c>
      <c r="D102" s="645">
        <f t="shared" si="5"/>
        <v>1078</v>
      </c>
      <c r="E102" s="645">
        <v>1078</v>
      </c>
      <c r="F102" s="642"/>
      <c r="G102" s="642"/>
      <c r="H102" s="642"/>
      <c r="I102" s="642"/>
      <c r="J102" s="642"/>
      <c r="K102" s="642"/>
      <c r="L102" s="642"/>
    </row>
    <row r="103" spans="1:12" s="640" customFormat="1" ht="11.25" customHeight="1" x14ac:dyDescent="0.25">
      <c r="A103" s="642">
        <v>98</v>
      </c>
      <c r="B103" s="643" t="s">
        <v>258</v>
      </c>
      <c r="C103" s="646" t="s">
        <v>259</v>
      </c>
      <c r="D103" s="645"/>
      <c r="E103" s="645"/>
      <c r="F103" s="642"/>
      <c r="G103" s="642"/>
      <c r="H103" s="642"/>
      <c r="I103" s="642"/>
      <c r="J103" s="642"/>
      <c r="K103" s="642"/>
      <c r="L103" s="642"/>
    </row>
    <row r="104" spans="1:12" s="640" customFormat="1" ht="11.25" customHeight="1" x14ac:dyDescent="0.25">
      <c r="A104" s="642">
        <v>99</v>
      </c>
      <c r="B104" s="643" t="s">
        <v>260</v>
      </c>
      <c r="C104" s="646" t="s">
        <v>261</v>
      </c>
      <c r="D104" s="645">
        <f>E104+K104+L104</f>
        <v>762</v>
      </c>
      <c r="E104" s="645">
        <v>762</v>
      </c>
      <c r="F104" s="642"/>
      <c r="G104" s="642">
        <v>762</v>
      </c>
      <c r="H104" s="642"/>
      <c r="I104" s="642"/>
      <c r="J104" s="642"/>
      <c r="K104" s="642"/>
      <c r="L104" s="642"/>
    </row>
    <row r="105" spans="1:12" s="640" customFormat="1" ht="11.25" customHeight="1" x14ac:dyDescent="0.25">
      <c r="A105" s="642">
        <v>100</v>
      </c>
      <c r="B105" s="647" t="s">
        <v>264</v>
      </c>
      <c r="C105" s="648" t="s">
        <v>265</v>
      </c>
      <c r="D105" s="645">
        <f>E105+K105+L105</f>
        <v>5</v>
      </c>
      <c r="E105" s="645">
        <v>5</v>
      </c>
      <c r="F105" s="642"/>
      <c r="G105" s="642"/>
      <c r="H105" s="642"/>
      <c r="I105" s="642"/>
      <c r="J105" s="642"/>
      <c r="K105" s="642"/>
      <c r="L105" s="642"/>
    </row>
    <row r="106" spans="1:12" s="640" customFormat="1" ht="11.25" customHeight="1" x14ac:dyDescent="0.25">
      <c r="A106" s="642">
        <v>101</v>
      </c>
      <c r="B106" s="649" t="s">
        <v>266</v>
      </c>
      <c r="C106" s="650" t="s">
        <v>267</v>
      </c>
      <c r="D106" s="645">
        <f>E106+K106+L106</f>
        <v>5</v>
      </c>
      <c r="E106" s="645">
        <v>5</v>
      </c>
      <c r="F106" s="642"/>
      <c r="G106" s="642"/>
      <c r="H106" s="642"/>
      <c r="I106" s="642"/>
      <c r="J106" s="642"/>
      <c r="K106" s="642"/>
      <c r="L106" s="642"/>
    </row>
    <row r="107" spans="1:12" s="640" customFormat="1" ht="11.25" customHeight="1" x14ac:dyDescent="0.25">
      <c r="A107" s="642">
        <v>102</v>
      </c>
      <c r="B107" s="643" t="s">
        <v>268</v>
      </c>
      <c r="C107" s="646" t="s">
        <v>269</v>
      </c>
      <c r="D107" s="645">
        <f>E107+K107+L107</f>
        <v>5</v>
      </c>
      <c r="E107" s="645">
        <v>5</v>
      </c>
      <c r="F107" s="642"/>
      <c r="G107" s="642"/>
      <c r="H107" s="642"/>
      <c r="I107" s="642"/>
      <c r="J107" s="642"/>
      <c r="K107" s="642"/>
      <c r="L107" s="642"/>
    </row>
    <row r="108" spans="1:12" s="640" customFormat="1" ht="11.25" customHeight="1" x14ac:dyDescent="0.25">
      <c r="A108" s="642">
        <v>103</v>
      </c>
      <c r="B108" s="643" t="s">
        <v>270</v>
      </c>
      <c r="C108" s="646" t="s">
        <v>271</v>
      </c>
      <c r="D108" s="645"/>
      <c r="E108" s="645"/>
      <c r="F108" s="642"/>
      <c r="G108" s="642"/>
      <c r="H108" s="642"/>
      <c r="I108" s="642"/>
      <c r="J108" s="642"/>
      <c r="K108" s="642"/>
      <c r="L108" s="642"/>
    </row>
    <row r="109" spans="1:12" s="640" customFormat="1" ht="11.25" customHeight="1" x14ac:dyDescent="0.25">
      <c r="A109" s="642">
        <v>104</v>
      </c>
      <c r="B109" s="647" t="s">
        <v>272</v>
      </c>
      <c r="C109" s="648" t="s">
        <v>273</v>
      </c>
      <c r="D109" s="645">
        <f>E109+K109+L109</f>
        <v>470</v>
      </c>
      <c r="E109" s="645">
        <v>470</v>
      </c>
      <c r="F109" s="642"/>
      <c r="G109" s="642"/>
      <c r="H109" s="642"/>
      <c r="I109" s="642"/>
      <c r="J109" s="642">
        <v>470</v>
      </c>
      <c r="K109" s="642"/>
      <c r="L109" s="642"/>
    </row>
    <row r="110" spans="1:12" s="640" customFormat="1" ht="11.25" customHeight="1" x14ac:dyDescent="0.25">
      <c r="A110" s="642">
        <v>105</v>
      </c>
      <c r="B110" s="647" t="s">
        <v>274</v>
      </c>
      <c r="C110" s="648" t="s">
        <v>275</v>
      </c>
      <c r="D110" s="645"/>
      <c r="E110" s="645"/>
      <c r="F110" s="642"/>
      <c r="G110" s="642"/>
      <c r="H110" s="642"/>
      <c r="I110" s="642"/>
      <c r="J110" s="642"/>
      <c r="K110" s="642"/>
      <c r="L110" s="642"/>
    </row>
    <row r="111" spans="1:12" s="640" customFormat="1" ht="11.25" customHeight="1" x14ac:dyDescent="0.25">
      <c r="A111" s="642">
        <v>106</v>
      </c>
      <c r="B111" s="643" t="s">
        <v>276</v>
      </c>
      <c r="C111" s="646" t="s">
        <v>277</v>
      </c>
      <c r="D111" s="645">
        <f>E111+K111+L111</f>
        <v>372</v>
      </c>
      <c r="E111" s="645">
        <v>372</v>
      </c>
      <c r="F111" s="642">
        <v>51</v>
      </c>
      <c r="G111" s="642">
        <v>321</v>
      </c>
      <c r="H111" s="642"/>
      <c r="I111" s="642"/>
      <c r="J111" s="642"/>
      <c r="K111" s="642"/>
      <c r="L111" s="642"/>
    </row>
    <row r="112" spans="1:12" s="640" customFormat="1" ht="11.25" customHeight="1" x14ac:dyDescent="0.25">
      <c r="A112" s="642">
        <v>107</v>
      </c>
      <c r="B112" s="643" t="s">
        <v>278</v>
      </c>
      <c r="C112" s="648" t="s">
        <v>279</v>
      </c>
      <c r="D112" s="645"/>
      <c r="E112" s="645"/>
      <c r="F112" s="642"/>
      <c r="G112" s="642"/>
      <c r="H112" s="642"/>
      <c r="I112" s="642"/>
      <c r="J112" s="642"/>
      <c r="K112" s="642"/>
      <c r="L112" s="642"/>
    </row>
    <row r="113" spans="1:12" s="640" customFormat="1" ht="11.25" customHeight="1" x14ac:dyDescent="0.25">
      <c r="A113" s="642">
        <v>108</v>
      </c>
      <c r="B113" s="643" t="s">
        <v>280</v>
      </c>
      <c r="C113" s="646" t="s">
        <v>281</v>
      </c>
      <c r="D113" s="645">
        <f>E113+K113+L113</f>
        <v>122</v>
      </c>
      <c r="E113" s="645">
        <v>122</v>
      </c>
      <c r="F113" s="642"/>
      <c r="G113" s="642">
        <v>122</v>
      </c>
      <c r="H113" s="642"/>
      <c r="I113" s="642"/>
      <c r="J113" s="642"/>
      <c r="K113" s="642"/>
      <c r="L113" s="642"/>
    </row>
    <row r="114" spans="1:12" s="640" customFormat="1" ht="11.25" customHeight="1" x14ac:dyDescent="0.25">
      <c r="A114" s="642">
        <v>109</v>
      </c>
      <c r="B114" s="647" t="s">
        <v>282</v>
      </c>
      <c r="C114" s="11" t="s">
        <v>283</v>
      </c>
      <c r="D114" s="645">
        <f>E114+K114+L114</f>
        <v>5</v>
      </c>
      <c r="E114" s="645">
        <v>5</v>
      </c>
      <c r="F114" s="642"/>
      <c r="G114" s="642"/>
      <c r="H114" s="642"/>
      <c r="I114" s="642"/>
      <c r="J114" s="642"/>
      <c r="K114" s="642"/>
      <c r="L114" s="642"/>
    </row>
    <row r="115" spans="1:12" s="640" customFormat="1" ht="11.25" customHeight="1" x14ac:dyDescent="0.25">
      <c r="A115" s="642">
        <v>110</v>
      </c>
      <c r="B115" s="647" t="s">
        <v>284</v>
      </c>
      <c r="C115" s="648" t="s">
        <v>285</v>
      </c>
      <c r="D115" s="645">
        <f>E115+K115+L115</f>
        <v>5</v>
      </c>
      <c r="E115" s="645">
        <v>5</v>
      </c>
      <c r="F115" s="642"/>
      <c r="G115" s="642"/>
      <c r="H115" s="642"/>
      <c r="I115" s="642"/>
      <c r="J115" s="642"/>
      <c r="K115" s="642"/>
      <c r="L115" s="642"/>
    </row>
    <row r="116" spans="1:12" s="640" customFormat="1" ht="11.25" customHeight="1" x14ac:dyDescent="0.25">
      <c r="A116" s="642">
        <v>111</v>
      </c>
      <c r="B116" s="224" t="s">
        <v>780</v>
      </c>
      <c r="C116" s="220" t="s">
        <v>737</v>
      </c>
      <c r="D116" s="645"/>
      <c r="E116" s="645"/>
      <c r="F116" s="642"/>
      <c r="G116" s="642"/>
      <c r="H116" s="642"/>
      <c r="I116" s="642"/>
      <c r="J116" s="642"/>
      <c r="K116" s="642"/>
      <c r="L116" s="642"/>
    </row>
    <row r="117" spans="1:12" s="640" customFormat="1" ht="11.25" customHeight="1" x14ac:dyDescent="0.25">
      <c r="A117" s="642">
        <v>112</v>
      </c>
      <c r="B117" s="647" t="s">
        <v>286</v>
      </c>
      <c r="C117" s="648" t="s">
        <v>287</v>
      </c>
      <c r="D117" s="645"/>
      <c r="E117" s="645"/>
      <c r="F117" s="642"/>
      <c r="G117" s="642"/>
      <c r="H117" s="642"/>
      <c r="I117" s="642"/>
      <c r="J117" s="642"/>
      <c r="K117" s="642"/>
      <c r="L117" s="642"/>
    </row>
    <row r="118" spans="1:12" s="640" customFormat="1" ht="11.25" customHeight="1" x14ac:dyDescent="0.25">
      <c r="A118" s="642">
        <v>113</v>
      </c>
      <c r="B118" s="658" t="s">
        <v>288</v>
      </c>
      <c r="C118" s="11" t="s">
        <v>738</v>
      </c>
      <c r="D118" s="645">
        <f>E118+K118+L118</f>
        <v>311</v>
      </c>
      <c r="E118" s="645">
        <v>311</v>
      </c>
      <c r="F118" s="642"/>
      <c r="G118" s="642">
        <v>311</v>
      </c>
      <c r="H118" s="642"/>
      <c r="I118" s="642"/>
      <c r="J118" s="642"/>
      <c r="K118" s="642"/>
      <c r="L118" s="642"/>
    </row>
    <row r="119" spans="1:12" s="640" customFormat="1" ht="11.25" customHeight="1" x14ac:dyDescent="0.25">
      <c r="A119" s="642">
        <v>114</v>
      </c>
      <c r="B119" s="643" t="s">
        <v>290</v>
      </c>
      <c r="C119" s="646" t="s">
        <v>291</v>
      </c>
      <c r="D119" s="645"/>
      <c r="E119" s="645"/>
      <c r="F119" s="642"/>
      <c r="G119" s="642"/>
      <c r="H119" s="642"/>
      <c r="I119" s="642"/>
      <c r="J119" s="642"/>
      <c r="K119" s="642"/>
      <c r="L119" s="642"/>
    </row>
    <row r="120" spans="1:12" s="640" customFormat="1" ht="11.25" customHeight="1" x14ac:dyDescent="0.25">
      <c r="A120" s="642">
        <v>115</v>
      </c>
      <c r="B120" s="647" t="s">
        <v>292</v>
      </c>
      <c r="C120" s="648" t="s">
        <v>293</v>
      </c>
      <c r="D120" s="645">
        <f t="shared" ref="D120:D132" si="6">E120+K120+L120</f>
        <v>4</v>
      </c>
      <c r="E120" s="645">
        <v>4</v>
      </c>
      <c r="F120" s="642"/>
      <c r="G120" s="642"/>
      <c r="H120" s="642"/>
      <c r="I120" s="642"/>
      <c r="J120" s="642"/>
      <c r="K120" s="642"/>
      <c r="L120" s="642"/>
    </row>
    <row r="121" spans="1:12" s="640" customFormat="1" ht="11.25" customHeight="1" x14ac:dyDescent="0.25">
      <c r="A121" s="642">
        <v>116</v>
      </c>
      <c r="B121" s="643" t="s">
        <v>294</v>
      </c>
      <c r="C121" s="648" t="s">
        <v>295</v>
      </c>
      <c r="D121" s="645">
        <f t="shared" si="6"/>
        <v>1298</v>
      </c>
      <c r="E121" s="645">
        <v>1298</v>
      </c>
      <c r="F121" s="642"/>
      <c r="G121" s="642"/>
      <c r="H121" s="642"/>
      <c r="I121" s="642"/>
      <c r="J121" s="642">
        <v>150</v>
      </c>
      <c r="K121" s="642"/>
      <c r="L121" s="642"/>
    </row>
    <row r="122" spans="1:12" s="640" customFormat="1" ht="11.25" customHeight="1" x14ac:dyDescent="0.25">
      <c r="A122" s="642">
        <v>117</v>
      </c>
      <c r="B122" s="647" t="s">
        <v>70</v>
      </c>
      <c r="C122" s="648" t="s">
        <v>296</v>
      </c>
      <c r="D122" s="645">
        <f t="shared" si="6"/>
        <v>40350</v>
      </c>
      <c r="E122" s="645">
        <v>40224</v>
      </c>
      <c r="F122" s="642">
        <v>40224</v>
      </c>
      <c r="G122" s="642"/>
      <c r="H122" s="642"/>
      <c r="I122" s="642"/>
      <c r="J122" s="642"/>
      <c r="K122" s="642">
        <v>126</v>
      </c>
      <c r="L122" s="642"/>
    </row>
    <row r="123" spans="1:12" s="640" customFormat="1" ht="11.25" customHeight="1" x14ac:dyDescent="0.25">
      <c r="A123" s="642">
        <v>118</v>
      </c>
      <c r="B123" s="647" t="s">
        <v>72</v>
      </c>
      <c r="C123" s="648" t="s">
        <v>73</v>
      </c>
      <c r="D123" s="645">
        <f t="shared" si="6"/>
        <v>430</v>
      </c>
      <c r="E123" s="645">
        <v>430</v>
      </c>
      <c r="F123" s="642"/>
      <c r="G123" s="642"/>
      <c r="H123" s="642"/>
      <c r="I123" s="642"/>
      <c r="J123" s="642"/>
      <c r="K123" s="642"/>
      <c r="L123" s="642"/>
    </row>
    <row r="124" spans="1:12" s="640" customFormat="1" ht="11.25" customHeight="1" x14ac:dyDescent="0.25">
      <c r="A124" s="642">
        <v>119</v>
      </c>
      <c r="B124" s="643" t="s">
        <v>34</v>
      </c>
      <c r="C124" s="648" t="s">
        <v>35</v>
      </c>
      <c r="D124" s="645">
        <f t="shared" si="6"/>
        <v>4056</v>
      </c>
      <c r="E124" s="645">
        <f>2796+718</f>
        <v>3514</v>
      </c>
      <c r="F124" s="642">
        <v>279</v>
      </c>
      <c r="G124" s="642"/>
      <c r="H124" s="642"/>
      <c r="I124" s="642"/>
      <c r="J124" s="642"/>
      <c r="K124" s="642"/>
      <c r="L124" s="642">
        <v>542</v>
      </c>
    </row>
    <row r="125" spans="1:12" s="640" customFormat="1" ht="11.25" customHeight="1" x14ac:dyDescent="0.25">
      <c r="A125" s="642">
        <v>120</v>
      </c>
      <c r="B125" s="647" t="s">
        <v>297</v>
      </c>
      <c r="C125" s="648" t="s">
        <v>298</v>
      </c>
      <c r="D125" s="645">
        <f t="shared" si="6"/>
        <v>2160</v>
      </c>
      <c r="E125" s="645">
        <v>2160</v>
      </c>
      <c r="F125" s="642"/>
      <c r="G125" s="642"/>
      <c r="H125" s="642"/>
      <c r="I125" s="642"/>
      <c r="J125" s="642"/>
      <c r="K125" s="642"/>
      <c r="L125" s="642"/>
    </row>
    <row r="126" spans="1:12" s="640" customFormat="1" ht="11.25" customHeight="1" x14ac:dyDescent="0.25">
      <c r="A126" s="642">
        <v>121</v>
      </c>
      <c r="B126" s="643" t="s">
        <v>299</v>
      </c>
      <c r="C126" s="646" t="s">
        <v>300</v>
      </c>
      <c r="D126" s="645">
        <f t="shared" si="6"/>
        <v>2460</v>
      </c>
      <c r="E126" s="645">
        <f>3662-1202</f>
        <v>2460</v>
      </c>
      <c r="F126" s="642"/>
      <c r="G126" s="642"/>
      <c r="H126" s="642"/>
      <c r="I126" s="642"/>
      <c r="J126" s="642"/>
      <c r="K126" s="642"/>
      <c r="L126" s="642"/>
    </row>
    <row r="127" spans="1:12" s="640" customFormat="1" ht="11.25" customHeight="1" x14ac:dyDescent="0.25">
      <c r="A127" s="642">
        <v>122</v>
      </c>
      <c r="B127" s="643" t="s">
        <v>301</v>
      </c>
      <c r="C127" s="646" t="s">
        <v>302</v>
      </c>
      <c r="D127" s="645">
        <f t="shared" si="6"/>
        <v>1543</v>
      </c>
      <c r="E127" s="645">
        <v>1543</v>
      </c>
      <c r="F127" s="642"/>
      <c r="G127" s="642">
        <v>657</v>
      </c>
      <c r="H127" s="642"/>
      <c r="I127" s="642"/>
      <c r="J127" s="642"/>
      <c r="K127" s="642"/>
      <c r="L127" s="642"/>
    </row>
    <row r="128" spans="1:12" s="640" customFormat="1" ht="11.25" customHeight="1" x14ac:dyDescent="0.25">
      <c r="A128" s="642">
        <v>123</v>
      </c>
      <c r="B128" s="647" t="s">
        <v>16</v>
      </c>
      <c r="C128" s="648" t="s">
        <v>17</v>
      </c>
      <c r="D128" s="645">
        <f t="shared" si="6"/>
        <v>2500</v>
      </c>
      <c r="E128" s="645"/>
      <c r="F128" s="642"/>
      <c r="G128" s="642"/>
      <c r="H128" s="642"/>
      <c r="I128" s="642"/>
      <c r="J128" s="642"/>
      <c r="K128" s="642"/>
      <c r="L128" s="642">
        <v>2500</v>
      </c>
    </row>
    <row r="129" spans="1:12" s="640" customFormat="1" ht="11.25" customHeight="1" x14ac:dyDescent="0.25">
      <c r="A129" s="642">
        <v>124</v>
      </c>
      <c r="B129" s="647" t="s">
        <v>68</v>
      </c>
      <c r="C129" s="648" t="s">
        <v>69</v>
      </c>
      <c r="D129" s="645">
        <f t="shared" si="6"/>
        <v>2254</v>
      </c>
      <c r="E129" s="645">
        <v>713</v>
      </c>
      <c r="F129" s="642"/>
      <c r="G129" s="642"/>
      <c r="H129" s="642"/>
      <c r="I129" s="642"/>
      <c r="J129" s="642"/>
      <c r="K129" s="642"/>
      <c r="L129" s="642">
        <v>1541</v>
      </c>
    </row>
    <row r="130" spans="1:12" s="640" customFormat="1" ht="11.25" customHeight="1" x14ac:dyDescent="0.25">
      <c r="A130" s="642">
        <v>125</v>
      </c>
      <c r="B130" s="647" t="s">
        <v>60</v>
      </c>
      <c r="C130" s="648" t="s">
        <v>303</v>
      </c>
      <c r="D130" s="645">
        <f t="shared" si="6"/>
        <v>2936</v>
      </c>
      <c r="E130" s="645">
        <v>2936</v>
      </c>
      <c r="F130" s="642"/>
      <c r="G130" s="659"/>
      <c r="H130" s="746"/>
      <c r="I130" s="642"/>
      <c r="J130" s="642"/>
      <c r="K130" s="642"/>
      <c r="L130" s="642"/>
    </row>
    <row r="131" spans="1:12" s="640" customFormat="1" ht="11.25" customHeight="1" x14ac:dyDescent="0.25">
      <c r="A131" s="642">
        <v>126</v>
      </c>
      <c r="B131" s="647" t="s">
        <v>56</v>
      </c>
      <c r="C131" s="648" t="s">
        <v>304</v>
      </c>
      <c r="D131" s="645">
        <f t="shared" si="6"/>
        <v>4623</v>
      </c>
      <c r="E131" s="645">
        <v>4215</v>
      </c>
      <c r="F131" s="642"/>
      <c r="G131" s="642"/>
      <c r="H131" s="642"/>
      <c r="I131" s="642"/>
      <c r="J131" s="642"/>
      <c r="K131" s="642"/>
      <c r="L131" s="642">
        <v>408</v>
      </c>
    </row>
    <row r="132" spans="1:12" s="640" customFormat="1" ht="11.25" customHeight="1" x14ac:dyDescent="0.25">
      <c r="A132" s="642">
        <v>127</v>
      </c>
      <c r="B132" s="647" t="s">
        <v>305</v>
      </c>
      <c r="C132" s="648" t="s">
        <v>306</v>
      </c>
      <c r="D132" s="645">
        <f t="shared" si="6"/>
        <v>882</v>
      </c>
      <c r="E132" s="645">
        <v>882</v>
      </c>
      <c r="F132" s="642"/>
      <c r="G132" s="642"/>
      <c r="H132" s="642">
        <v>882</v>
      </c>
      <c r="I132" s="642"/>
      <c r="J132" s="642"/>
      <c r="K132" s="642"/>
      <c r="L132" s="642"/>
    </row>
    <row r="133" spans="1:12" s="640" customFormat="1" ht="11.25" customHeight="1" x14ac:dyDescent="0.25">
      <c r="A133" s="642">
        <v>128</v>
      </c>
      <c r="B133" s="643" t="s">
        <v>307</v>
      </c>
      <c r="C133" s="646" t="s">
        <v>308</v>
      </c>
      <c r="D133" s="645"/>
      <c r="E133" s="645"/>
      <c r="F133" s="642"/>
      <c r="G133" s="642"/>
      <c r="H133" s="642"/>
      <c r="I133" s="642"/>
      <c r="J133" s="642"/>
      <c r="K133" s="642"/>
      <c r="L133" s="642"/>
    </row>
    <row r="134" spans="1:12" s="640" customFormat="1" ht="11.25" customHeight="1" x14ac:dyDescent="0.25">
      <c r="A134" s="642">
        <v>129</v>
      </c>
      <c r="B134" s="647" t="s">
        <v>309</v>
      </c>
      <c r="C134" s="648" t="s">
        <v>310</v>
      </c>
      <c r="D134" s="645">
        <f>E134+K134+L134</f>
        <v>1095</v>
      </c>
      <c r="E134" s="645">
        <v>1000</v>
      </c>
      <c r="F134" s="642">
        <v>1000</v>
      </c>
      <c r="G134" s="642"/>
      <c r="H134" s="642"/>
      <c r="I134" s="642"/>
      <c r="J134" s="642"/>
      <c r="K134" s="642">
        <v>95</v>
      </c>
      <c r="L134" s="642"/>
    </row>
    <row r="135" spans="1:12" s="640" customFormat="1" ht="11.25" customHeight="1" x14ac:dyDescent="0.25">
      <c r="A135" s="642">
        <v>130</v>
      </c>
      <c r="B135" s="750" t="s">
        <v>311</v>
      </c>
      <c r="C135" s="751" t="s">
        <v>312</v>
      </c>
      <c r="D135" s="645"/>
      <c r="E135" s="645"/>
      <c r="F135" s="642"/>
      <c r="G135" s="642"/>
      <c r="H135" s="642"/>
      <c r="I135" s="642"/>
      <c r="J135" s="642"/>
      <c r="K135" s="642"/>
      <c r="L135" s="642"/>
    </row>
    <row r="136" spans="1:12" s="640" customFormat="1" ht="11.25" customHeight="1" x14ac:dyDescent="0.25">
      <c r="A136" s="642">
        <v>131</v>
      </c>
      <c r="B136" s="752" t="s">
        <v>313</v>
      </c>
      <c r="C136" s="753" t="s">
        <v>314</v>
      </c>
      <c r="D136" s="645"/>
      <c r="E136" s="645"/>
      <c r="F136" s="642"/>
      <c r="G136" s="642"/>
      <c r="H136" s="642"/>
      <c r="I136" s="642"/>
      <c r="J136" s="642"/>
      <c r="K136" s="642"/>
      <c r="L136" s="642"/>
    </row>
    <row r="137" spans="1:12" s="640" customFormat="1" ht="11.25" customHeight="1" x14ac:dyDescent="0.25">
      <c r="A137" s="642">
        <v>132</v>
      </c>
      <c r="B137" s="754" t="s">
        <v>315</v>
      </c>
      <c r="C137" s="755" t="s">
        <v>316</v>
      </c>
      <c r="D137" s="645"/>
      <c r="E137" s="645"/>
      <c r="F137" s="642"/>
      <c r="G137" s="642"/>
      <c r="H137" s="642"/>
      <c r="I137" s="642"/>
      <c r="J137" s="642"/>
      <c r="K137" s="642"/>
      <c r="L137" s="642"/>
    </row>
    <row r="138" spans="1:12" s="640" customFormat="1" ht="11.25" customHeight="1" x14ac:dyDescent="0.25">
      <c r="A138" s="642">
        <v>133</v>
      </c>
      <c r="B138" s="756" t="s">
        <v>317</v>
      </c>
      <c r="C138" s="686" t="s">
        <v>318</v>
      </c>
      <c r="D138" s="645"/>
      <c r="E138" s="645"/>
      <c r="F138" s="642"/>
      <c r="G138" s="642"/>
      <c r="H138" s="642"/>
      <c r="I138" s="642"/>
      <c r="J138" s="642"/>
      <c r="K138" s="642"/>
      <c r="L138" s="642"/>
    </row>
    <row r="139" spans="1:12" s="640" customFormat="1" ht="11.25" customHeight="1" x14ac:dyDescent="0.25">
      <c r="A139" s="642">
        <v>134</v>
      </c>
      <c r="B139" s="685" t="s">
        <v>319</v>
      </c>
      <c r="C139" s="686" t="s">
        <v>320</v>
      </c>
      <c r="D139" s="645"/>
      <c r="E139" s="645"/>
      <c r="F139" s="642"/>
      <c r="G139" s="642"/>
      <c r="H139" s="642"/>
      <c r="I139" s="642"/>
      <c r="J139" s="642"/>
      <c r="K139" s="642"/>
      <c r="L139" s="642"/>
    </row>
    <row r="140" spans="1:12" s="640" customFormat="1" ht="11.25" customHeight="1" x14ac:dyDescent="0.25">
      <c r="A140" s="642">
        <v>135</v>
      </c>
      <c r="B140" s="685" t="s">
        <v>728</v>
      </c>
      <c r="C140" s="686" t="s">
        <v>729</v>
      </c>
      <c r="D140" s="645">
        <f>E140+K140+L140</f>
        <v>195</v>
      </c>
      <c r="E140" s="645">
        <v>195</v>
      </c>
      <c r="F140" s="642"/>
      <c r="G140" s="642"/>
      <c r="H140" s="642">
        <v>195</v>
      </c>
      <c r="I140" s="642"/>
      <c r="J140" s="642"/>
      <c r="K140" s="642"/>
      <c r="L140" s="642"/>
    </row>
    <row r="141" spans="1:12" s="640" customFormat="1" ht="11.25" customHeight="1" x14ac:dyDescent="0.25">
      <c r="A141" s="642">
        <v>136</v>
      </c>
      <c r="B141" s="647">
        <v>20058</v>
      </c>
      <c r="C141" s="648" t="s">
        <v>775</v>
      </c>
      <c r="D141" s="645">
        <f>E141+K141+L141</f>
        <v>4</v>
      </c>
      <c r="E141" s="645">
        <v>4</v>
      </c>
      <c r="F141" s="642"/>
      <c r="G141" s="642"/>
      <c r="H141" s="642"/>
      <c r="I141" s="642"/>
      <c r="J141" s="642"/>
      <c r="K141" s="642"/>
      <c r="L141" s="642"/>
    </row>
    <row r="142" spans="1:12" s="664" customFormat="1" ht="12.75" x14ac:dyDescent="0.25">
      <c r="A142" s="660"/>
      <c r="B142" s="661"/>
      <c r="C142" s="662" t="s">
        <v>108</v>
      </c>
      <c r="D142" s="663">
        <f>SUM(D6:D141)</f>
        <v>278178</v>
      </c>
      <c r="E142" s="663">
        <f t="shared" ref="E142:L142" si="7">SUM(E6:E141)</f>
        <v>267841</v>
      </c>
      <c r="F142" s="663">
        <f t="shared" si="7"/>
        <v>42036</v>
      </c>
      <c r="G142" s="663">
        <f t="shared" si="7"/>
        <v>2173</v>
      </c>
      <c r="H142" s="663">
        <f t="shared" si="7"/>
        <v>1077</v>
      </c>
      <c r="I142" s="663">
        <f t="shared" si="7"/>
        <v>250</v>
      </c>
      <c r="J142" s="663">
        <f t="shared" si="7"/>
        <v>720</v>
      </c>
      <c r="K142" s="663">
        <f t="shared" si="7"/>
        <v>221</v>
      </c>
      <c r="L142" s="663">
        <f t="shared" si="7"/>
        <v>10116</v>
      </c>
    </row>
    <row r="143" spans="1:12" s="664" customFormat="1" ht="12.75" x14ac:dyDescent="0.25">
      <c r="A143" s="660"/>
      <c r="B143" s="661"/>
      <c r="C143" s="665" t="s">
        <v>105</v>
      </c>
      <c r="D143" s="666">
        <f>5836+200</f>
        <v>6036</v>
      </c>
      <c r="E143" s="666">
        <f>5356+480+200</f>
        <v>6036</v>
      </c>
      <c r="F143" s="663">
        <f>351+32</f>
        <v>383</v>
      </c>
      <c r="G143" s="663">
        <v>5</v>
      </c>
      <c r="H143" s="663"/>
      <c r="I143" s="663"/>
      <c r="J143" s="663"/>
      <c r="K143" s="663"/>
      <c r="L143" s="663"/>
    </row>
    <row r="144" spans="1:12" s="664" customFormat="1" x14ac:dyDescent="0.25">
      <c r="A144" s="845"/>
      <c r="B144" s="845"/>
      <c r="C144" s="757" t="s">
        <v>107</v>
      </c>
      <c r="D144" s="663"/>
      <c r="E144" s="663"/>
      <c r="F144" s="663"/>
      <c r="G144" s="663"/>
      <c r="H144" s="663"/>
      <c r="I144" s="663"/>
      <c r="J144" s="663"/>
      <c r="K144" s="663"/>
      <c r="L144" s="663"/>
    </row>
    <row r="145" spans="1:12" s="664" customFormat="1" x14ac:dyDescent="0.25">
      <c r="A145" s="946" t="s">
        <v>331</v>
      </c>
      <c r="B145" s="946"/>
      <c r="C145" s="946"/>
      <c r="D145" s="663">
        <f t="shared" ref="D145:K145" si="8">SUM(D142:D144)</f>
        <v>284214</v>
      </c>
      <c r="E145" s="663">
        <f t="shared" si="8"/>
        <v>273877</v>
      </c>
      <c r="F145" s="663">
        <f t="shared" si="8"/>
        <v>42419</v>
      </c>
      <c r="G145" s="663">
        <f t="shared" si="8"/>
        <v>2178</v>
      </c>
      <c r="H145" s="663">
        <f t="shared" si="8"/>
        <v>1077</v>
      </c>
      <c r="I145" s="663">
        <f t="shared" si="8"/>
        <v>250</v>
      </c>
      <c r="J145" s="663">
        <f t="shared" si="8"/>
        <v>720</v>
      </c>
      <c r="K145" s="663">
        <f t="shared" si="8"/>
        <v>221</v>
      </c>
      <c r="L145" s="663">
        <f>SUM(L142:L144)</f>
        <v>10116</v>
      </c>
    </row>
  </sheetData>
  <mergeCells count="10">
    <mergeCell ref="A145:C145"/>
    <mergeCell ref="A1:L2"/>
    <mergeCell ref="A4:A5"/>
    <mergeCell ref="B4:B5"/>
    <mergeCell ref="C4:C5"/>
    <mergeCell ref="D4:D5"/>
    <mergeCell ref="E4:E5"/>
    <mergeCell ref="F4:J4"/>
    <mergeCell ref="K4:K5"/>
    <mergeCell ref="L4:L5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E24"/>
  <sheetViews>
    <sheetView workbookViewId="0">
      <selection activeCell="F16" sqref="F16"/>
    </sheetView>
  </sheetViews>
  <sheetFormatPr defaultRowHeight="15" x14ac:dyDescent="0.25"/>
  <cols>
    <col min="1" max="1" width="4.28515625" style="531" customWidth="1"/>
    <col min="2" max="2" width="10.42578125" style="531" customWidth="1"/>
    <col min="3" max="3" width="41.28515625" style="531" customWidth="1"/>
    <col min="4" max="4" width="22.140625" style="531" customWidth="1"/>
    <col min="5" max="5" width="22.42578125" style="531" customWidth="1"/>
    <col min="6" max="16384" width="9.140625" style="531"/>
  </cols>
  <sheetData>
    <row r="3" spans="1:5" ht="42" customHeight="1" x14ac:dyDescent="0.25">
      <c r="A3" s="1322" t="s">
        <v>646</v>
      </c>
      <c r="B3" s="1322"/>
      <c r="C3" s="1322"/>
      <c r="D3" s="1322"/>
      <c r="E3" s="1322"/>
    </row>
    <row r="4" spans="1:5" ht="15.75" thickBot="1" x14ac:dyDescent="0.3"/>
    <row r="5" spans="1:5" ht="15" customHeight="1" x14ac:dyDescent="0.25">
      <c r="A5" s="1332" t="s">
        <v>0</v>
      </c>
      <c r="B5" s="1334" t="s">
        <v>1</v>
      </c>
      <c r="C5" s="1336" t="s">
        <v>93</v>
      </c>
      <c r="D5" s="1300" t="s">
        <v>647</v>
      </c>
      <c r="E5" s="1337" t="s">
        <v>648</v>
      </c>
    </row>
    <row r="6" spans="1:5" ht="114.75" customHeight="1" x14ac:dyDescent="0.25">
      <c r="A6" s="1333"/>
      <c r="B6" s="1335"/>
      <c r="C6" s="1335"/>
      <c r="D6" s="1301"/>
      <c r="E6" s="1338"/>
    </row>
    <row r="7" spans="1:5" x14ac:dyDescent="0.25">
      <c r="A7" s="532"/>
      <c r="B7" s="523"/>
      <c r="C7" s="533" t="s">
        <v>331</v>
      </c>
      <c r="D7" s="534">
        <f>D8+D9</f>
        <v>150340</v>
      </c>
      <c r="E7" s="535">
        <f>E8+E9</f>
        <v>181248</v>
      </c>
    </row>
    <row r="8" spans="1:5" x14ac:dyDescent="0.25">
      <c r="A8" s="1330"/>
      <c r="B8" s="1331"/>
      <c r="C8" s="533" t="s">
        <v>105</v>
      </c>
      <c r="D8" s="534">
        <v>0</v>
      </c>
      <c r="E8" s="535">
        <v>0</v>
      </c>
    </row>
    <row r="9" spans="1:5" x14ac:dyDescent="0.25">
      <c r="A9" s="1330"/>
      <c r="B9" s="1331"/>
      <c r="C9" s="533" t="s">
        <v>108</v>
      </c>
      <c r="D9" s="534">
        <f>SUM(D10:D24)</f>
        <v>150340</v>
      </c>
      <c r="E9" s="535">
        <f>SUM(E10:E24)</f>
        <v>181248</v>
      </c>
    </row>
    <row r="10" spans="1:5" ht="19.5" customHeight="1" x14ac:dyDescent="0.25">
      <c r="A10" s="532">
        <v>1</v>
      </c>
      <c r="B10" s="536" t="s">
        <v>228</v>
      </c>
      <c r="C10" s="524" t="s">
        <v>649</v>
      </c>
      <c r="D10" s="537">
        <v>271</v>
      </c>
      <c r="E10" s="538">
        <v>271</v>
      </c>
    </row>
    <row r="11" spans="1:5" x14ac:dyDescent="0.25">
      <c r="A11" s="532">
        <v>2</v>
      </c>
      <c r="B11" s="536" t="s">
        <v>301</v>
      </c>
      <c r="C11" s="524" t="s">
        <v>650</v>
      </c>
      <c r="D11" s="537">
        <v>0</v>
      </c>
      <c r="E11" s="538">
        <v>30908</v>
      </c>
    </row>
    <row r="12" spans="1:5" x14ac:dyDescent="0.25">
      <c r="A12" s="532">
        <v>3</v>
      </c>
      <c r="B12" s="523" t="s">
        <v>117</v>
      </c>
      <c r="C12" s="524" t="s">
        <v>651</v>
      </c>
      <c r="D12" s="537">
        <v>11319</v>
      </c>
      <c r="E12" s="538">
        <v>11319</v>
      </c>
    </row>
    <row r="13" spans="1:5" x14ac:dyDescent="0.25">
      <c r="A13" s="532">
        <v>4</v>
      </c>
      <c r="B13" s="523" t="s">
        <v>60</v>
      </c>
      <c r="C13" s="524" t="s">
        <v>652</v>
      </c>
      <c r="D13" s="537">
        <v>6046</v>
      </c>
      <c r="E13" s="538">
        <v>6046</v>
      </c>
    </row>
    <row r="14" spans="1:5" ht="19.5" customHeight="1" x14ac:dyDescent="0.25">
      <c r="A14" s="532">
        <v>5</v>
      </c>
      <c r="B14" s="523" t="s">
        <v>149</v>
      </c>
      <c r="C14" s="524" t="s">
        <v>653</v>
      </c>
      <c r="D14" s="537">
        <v>17483</v>
      </c>
      <c r="E14" s="538">
        <v>17483</v>
      </c>
    </row>
    <row r="15" spans="1:5" x14ac:dyDescent="0.25">
      <c r="A15" s="532">
        <v>6</v>
      </c>
      <c r="B15" s="523" t="s">
        <v>305</v>
      </c>
      <c r="C15" s="524" t="s">
        <v>654</v>
      </c>
      <c r="D15" s="537">
        <v>12545</v>
      </c>
      <c r="E15" s="538">
        <v>12545</v>
      </c>
    </row>
    <row r="16" spans="1:5" x14ac:dyDescent="0.25">
      <c r="A16" s="532">
        <v>7</v>
      </c>
      <c r="B16" s="523" t="s">
        <v>30</v>
      </c>
      <c r="C16" s="524" t="s">
        <v>655</v>
      </c>
      <c r="D16" s="537">
        <v>9878</v>
      </c>
      <c r="E16" s="538">
        <v>9878</v>
      </c>
    </row>
    <row r="17" spans="1:5" x14ac:dyDescent="0.25">
      <c r="A17" s="532">
        <v>8</v>
      </c>
      <c r="B17" s="523" t="s">
        <v>294</v>
      </c>
      <c r="C17" s="524" t="s">
        <v>656</v>
      </c>
      <c r="D17" s="537">
        <v>7986</v>
      </c>
      <c r="E17" s="538">
        <v>7986</v>
      </c>
    </row>
    <row r="18" spans="1:5" x14ac:dyDescent="0.25">
      <c r="A18" s="532">
        <v>9</v>
      </c>
      <c r="B18" s="523" t="s">
        <v>54</v>
      </c>
      <c r="C18" s="524" t="s">
        <v>657</v>
      </c>
      <c r="D18" s="537">
        <v>42107</v>
      </c>
      <c r="E18" s="538">
        <v>42107</v>
      </c>
    </row>
    <row r="19" spans="1:5" x14ac:dyDescent="0.25">
      <c r="A19" s="532">
        <v>10</v>
      </c>
      <c r="B19" s="523" t="s">
        <v>46</v>
      </c>
      <c r="C19" s="524" t="s">
        <v>658</v>
      </c>
      <c r="D19" s="537">
        <v>5120</v>
      </c>
      <c r="E19" s="538">
        <v>5120</v>
      </c>
    </row>
    <row r="20" spans="1:5" x14ac:dyDescent="0.25">
      <c r="A20" s="532">
        <v>11</v>
      </c>
      <c r="B20" s="523" t="s">
        <v>20</v>
      </c>
      <c r="C20" s="524" t="s">
        <v>659</v>
      </c>
      <c r="D20" s="537">
        <v>4686</v>
      </c>
      <c r="E20" s="538">
        <v>4686</v>
      </c>
    </row>
    <row r="21" spans="1:5" x14ac:dyDescent="0.25">
      <c r="A21" s="532">
        <v>12</v>
      </c>
      <c r="B21" s="523" t="s">
        <v>141</v>
      </c>
      <c r="C21" s="524" t="s">
        <v>660</v>
      </c>
      <c r="D21" s="537">
        <v>6405</v>
      </c>
      <c r="E21" s="538">
        <v>6405</v>
      </c>
    </row>
    <row r="22" spans="1:5" ht="17.25" customHeight="1" x14ac:dyDescent="0.25">
      <c r="A22" s="532">
        <v>13</v>
      </c>
      <c r="B22" s="523" t="s">
        <v>171</v>
      </c>
      <c r="C22" s="524" t="s">
        <v>661</v>
      </c>
      <c r="D22" s="537">
        <v>16415</v>
      </c>
      <c r="E22" s="538">
        <v>16415</v>
      </c>
    </row>
    <row r="23" spans="1:5" x14ac:dyDescent="0.25">
      <c r="A23" s="532">
        <v>14</v>
      </c>
      <c r="B23" s="523" t="s">
        <v>157</v>
      </c>
      <c r="C23" s="524" t="s">
        <v>662</v>
      </c>
      <c r="D23" s="537">
        <v>9381</v>
      </c>
      <c r="E23" s="538">
        <v>9381</v>
      </c>
    </row>
    <row r="24" spans="1:5" ht="15.75" thickBot="1" x14ac:dyDescent="0.3">
      <c r="A24" s="539">
        <v>15</v>
      </c>
      <c r="B24" s="540" t="s">
        <v>169</v>
      </c>
      <c r="C24" s="541" t="s">
        <v>663</v>
      </c>
      <c r="D24" s="542">
        <v>698</v>
      </c>
      <c r="E24" s="543">
        <v>698</v>
      </c>
    </row>
  </sheetData>
  <mergeCells count="7">
    <mergeCell ref="A8:B9"/>
    <mergeCell ref="A3:E3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T31"/>
  <sheetViews>
    <sheetView zoomScale="130" zoomScaleNormal="130" workbookViewId="0">
      <pane xSplit="3" ySplit="5" topLeftCell="D12" activePane="bottomRight" state="frozen"/>
      <selection pane="topRight" activeCell="C1" sqref="C1"/>
      <selection pane="bottomLeft" activeCell="A6" sqref="A6"/>
      <selection pane="bottomRight" activeCell="B10" sqref="B10"/>
    </sheetView>
  </sheetViews>
  <sheetFormatPr defaultColWidth="9.140625" defaultRowHeight="11.25" x14ac:dyDescent="0.25"/>
  <cols>
    <col min="1" max="1" width="3.42578125" style="546" customWidth="1"/>
    <col min="2" max="2" width="6.5703125" style="546" customWidth="1"/>
    <col min="3" max="3" width="30.42578125" style="544" customWidth="1"/>
    <col min="4" max="4" width="6.7109375" style="545" customWidth="1"/>
    <col min="5" max="5" width="7.42578125" style="545" customWidth="1"/>
    <col min="6" max="6" width="7.140625" style="545" customWidth="1"/>
    <col min="7" max="7" width="9.28515625" style="545" customWidth="1"/>
    <col min="8" max="8" width="12.140625" style="545" customWidth="1"/>
    <col min="9" max="9" width="7.42578125" style="545" customWidth="1"/>
    <col min="10" max="10" width="7.7109375" style="545" customWidth="1"/>
    <col min="11" max="11" width="6.42578125" style="545" customWidth="1"/>
    <col min="12" max="12" width="7" style="545" customWidth="1"/>
    <col min="13" max="13" width="8.42578125" style="545" customWidth="1"/>
    <col min="14" max="14" width="10" style="545" customWidth="1"/>
    <col min="15" max="16" width="11.140625" style="545" customWidth="1"/>
    <col min="17" max="17" width="11.28515625" style="545" customWidth="1"/>
    <col min="18" max="18" width="9.5703125" style="545" customWidth="1"/>
    <col min="19" max="19" width="9.140625" style="545" customWidth="1"/>
    <col min="20" max="20" width="17.5703125" style="544" customWidth="1"/>
    <col min="21" max="16384" width="9.140625" style="544"/>
  </cols>
  <sheetData>
    <row r="1" spans="1:19" ht="28.5" customHeight="1" x14ac:dyDescent="0.25">
      <c r="A1" s="1342" t="s">
        <v>681</v>
      </c>
      <c r="B1" s="1342"/>
      <c r="C1" s="1342"/>
      <c r="D1" s="1342"/>
      <c r="E1" s="1342"/>
      <c r="F1" s="1342"/>
      <c r="G1" s="1342"/>
      <c r="H1" s="1342"/>
      <c r="I1" s="1342"/>
      <c r="J1" s="1342"/>
      <c r="K1" s="1342"/>
      <c r="L1" s="1342"/>
      <c r="M1" s="1342"/>
      <c r="N1" s="1342"/>
      <c r="O1" s="1342"/>
      <c r="P1" s="1342"/>
      <c r="Q1" s="1342"/>
      <c r="R1" s="1342"/>
      <c r="S1" s="1342"/>
    </row>
    <row r="2" spans="1:19" ht="15.75" customHeight="1" thickBot="1" x14ac:dyDescent="0.3"/>
    <row r="3" spans="1:19" ht="14.25" customHeight="1" x14ac:dyDescent="0.25">
      <c r="A3" s="1343" t="s">
        <v>0</v>
      </c>
      <c r="B3" s="1339" t="s">
        <v>1</v>
      </c>
      <c r="C3" s="1346" t="s">
        <v>93</v>
      </c>
      <c r="D3" s="1349" t="s">
        <v>680</v>
      </c>
      <c r="E3" s="1350"/>
      <c r="F3" s="1350"/>
      <c r="G3" s="1350"/>
      <c r="H3" s="1350"/>
      <c r="I3" s="1350"/>
      <c r="J3" s="1350"/>
      <c r="K3" s="1351"/>
      <c r="L3" s="1352"/>
      <c r="M3" s="1353" t="s">
        <v>679</v>
      </c>
      <c r="N3" s="1353" t="s">
        <v>678</v>
      </c>
      <c r="O3" s="1349" t="s">
        <v>677</v>
      </c>
      <c r="P3" s="1356"/>
      <c r="Q3" s="1356"/>
      <c r="R3" s="1357"/>
      <c r="S3" s="1358" t="s">
        <v>676</v>
      </c>
    </row>
    <row r="4" spans="1:19" ht="15" customHeight="1" x14ac:dyDescent="0.25">
      <c r="A4" s="1344"/>
      <c r="B4" s="1340"/>
      <c r="C4" s="1347"/>
      <c r="D4" s="1361" t="s">
        <v>675</v>
      </c>
      <c r="E4" s="1362"/>
      <c r="F4" s="1362"/>
      <c r="G4" s="1362"/>
      <c r="H4" s="1362"/>
      <c r="I4" s="1362"/>
      <c r="J4" s="1363"/>
      <c r="K4" s="1364" t="s">
        <v>674</v>
      </c>
      <c r="L4" s="1366" t="s">
        <v>331</v>
      </c>
      <c r="M4" s="1354"/>
      <c r="N4" s="1354"/>
      <c r="O4" s="1368" t="s">
        <v>673</v>
      </c>
      <c r="P4" s="1370" t="s">
        <v>672</v>
      </c>
      <c r="Q4" s="1370" t="s">
        <v>671</v>
      </c>
      <c r="R4" s="1372" t="s">
        <v>331</v>
      </c>
      <c r="S4" s="1359"/>
    </row>
    <row r="5" spans="1:19" ht="97.5" customHeight="1" x14ac:dyDescent="0.25">
      <c r="A5" s="1345"/>
      <c r="B5" s="1341"/>
      <c r="C5" s="1348"/>
      <c r="D5" s="591" t="s">
        <v>670</v>
      </c>
      <c r="E5" s="590" t="s">
        <v>669</v>
      </c>
      <c r="F5" s="590" t="s">
        <v>668</v>
      </c>
      <c r="G5" s="590" t="s">
        <v>667</v>
      </c>
      <c r="H5" s="590" t="s">
        <v>666</v>
      </c>
      <c r="I5" s="590" t="s">
        <v>665</v>
      </c>
      <c r="J5" s="590" t="s">
        <v>331</v>
      </c>
      <c r="K5" s="1365"/>
      <c r="L5" s="1367"/>
      <c r="M5" s="1355"/>
      <c r="N5" s="1355"/>
      <c r="O5" s="1369"/>
      <c r="P5" s="1371"/>
      <c r="Q5" s="1371"/>
      <c r="R5" s="1373"/>
      <c r="S5" s="1360"/>
    </row>
    <row r="6" spans="1:19" x14ac:dyDescent="0.25">
      <c r="A6" s="572">
        <v>1</v>
      </c>
      <c r="B6" s="571" t="s">
        <v>80</v>
      </c>
      <c r="C6" s="570" t="s">
        <v>81</v>
      </c>
      <c r="D6" s="565"/>
      <c r="E6" s="569"/>
      <c r="F6" s="569"/>
      <c r="G6" s="569"/>
      <c r="H6" s="569"/>
      <c r="I6" s="569"/>
      <c r="J6" s="568"/>
      <c r="K6" s="564"/>
      <c r="L6" s="567"/>
      <c r="M6" s="566"/>
      <c r="N6" s="566"/>
      <c r="O6" s="565">
        <v>900</v>
      </c>
      <c r="P6" s="564">
        <v>800</v>
      </c>
      <c r="Q6" s="564">
        <v>500</v>
      </c>
      <c r="R6" s="563">
        <f t="shared" ref="R6:R19" si="0">O6+P6+Q6</f>
        <v>2200</v>
      </c>
      <c r="S6" s="562"/>
    </row>
    <row r="7" spans="1:19" x14ac:dyDescent="0.25">
      <c r="A7" s="572">
        <v>2</v>
      </c>
      <c r="B7" s="571" t="s">
        <v>117</v>
      </c>
      <c r="C7" s="570" t="s">
        <v>118</v>
      </c>
      <c r="D7" s="565"/>
      <c r="E7" s="569"/>
      <c r="F7" s="569"/>
      <c r="G7" s="569"/>
      <c r="H7" s="569"/>
      <c r="I7" s="569"/>
      <c r="J7" s="568"/>
      <c r="K7" s="564"/>
      <c r="L7" s="567"/>
      <c r="M7" s="566"/>
      <c r="N7" s="566"/>
      <c r="O7" s="565">
        <v>1850</v>
      </c>
      <c r="P7" s="564">
        <v>1750</v>
      </c>
      <c r="Q7" s="564">
        <v>1750</v>
      </c>
      <c r="R7" s="563">
        <f t="shared" si="0"/>
        <v>5350</v>
      </c>
      <c r="S7" s="562"/>
    </row>
    <row r="8" spans="1:19" x14ac:dyDescent="0.25">
      <c r="A8" s="572">
        <v>3</v>
      </c>
      <c r="B8" s="589" t="s">
        <v>30</v>
      </c>
      <c r="C8" s="588" t="s">
        <v>31</v>
      </c>
      <c r="D8" s="586"/>
      <c r="E8" s="568"/>
      <c r="F8" s="568"/>
      <c r="G8" s="568"/>
      <c r="H8" s="568"/>
      <c r="I8" s="568"/>
      <c r="J8" s="568"/>
      <c r="K8" s="585"/>
      <c r="L8" s="567"/>
      <c r="M8" s="587"/>
      <c r="N8" s="587"/>
      <c r="O8" s="586">
        <v>1600</v>
      </c>
      <c r="P8" s="585">
        <v>1300</v>
      </c>
      <c r="Q8" s="585">
        <v>1300</v>
      </c>
      <c r="R8" s="563">
        <f t="shared" si="0"/>
        <v>4200</v>
      </c>
      <c r="S8" s="562"/>
    </row>
    <row r="9" spans="1:19" x14ac:dyDescent="0.25">
      <c r="A9" s="572">
        <v>4</v>
      </c>
      <c r="B9" s="571" t="s">
        <v>141</v>
      </c>
      <c r="C9" s="570" t="s">
        <v>142</v>
      </c>
      <c r="D9" s="565"/>
      <c r="E9" s="569"/>
      <c r="F9" s="569"/>
      <c r="G9" s="569"/>
      <c r="H9" s="569"/>
      <c r="I9" s="569"/>
      <c r="J9" s="568"/>
      <c r="K9" s="564"/>
      <c r="L9" s="567"/>
      <c r="M9" s="566"/>
      <c r="N9" s="566"/>
      <c r="O9" s="565">
        <v>787</v>
      </c>
      <c r="P9" s="564">
        <v>745</v>
      </c>
      <c r="Q9" s="564">
        <v>743</v>
      </c>
      <c r="R9" s="563">
        <f t="shared" si="0"/>
        <v>2275</v>
      </c>
      <c r="S9" s="562"/>
    </row>
    <row r="10" spans="1:19" x14ac:dyDescent="0.25">
      <c r="A10" s="572">
        <v>5</v>
      </c>
      <c r="B10" s="571" t="s">
        <v>149</v>
      </c>
      <c r="C10" s="570" t="s">
        <v>664</v>
      </c>
      <c r="D10" s="565"/>
      <c r="E10" s="569"/>
      <c r="F10" s="569"/>
      <c r="G10" s="569"/>
      <c r="H10" s="569"/>
      <c r="I10" s="569"/>
      <c r="J10" s="568"/>
      <c r="K10" s="564"/>
      <c r="L10" s="567"/>
      <c r="M10" s="566"/>
      <c r="N10" s="566"/>
      <c r="O10" s="565">
        <v>4000</v>
      </c>
      <c r="P10" s="564">
        <v>3800</v>
      </c>
      <c r="Q10" s="564">
        <v>3300</v>
      </c>
      <c r="R10" s="563">
        <f t="shared" si="0"/>
        <v>11100</v>
      </c>
      <c r="S10" s="562"/>
    </row>
    <row r="11" spans="1:19" x14ac:dyDescent="0.25">
      <c r="A11" s="572">
        <v>6</v>
      </c>
      <c r="B11" s="571" t="s">
        <v>157</v>
      </c>
      <c r="C11" s="570" t="s">
        <v>158</v>
      </c>
      <c r="D11" s="565"/>
      <c r="E11" s="569"/>
      <c r="F11" s="569"/>
      <c r="G11" s="569"/>
      <c r="H11" s="569"/>
      <c r="I11" s="569"/>
      <c r="J11" s="568"/>
      <c r="K11" s="564"/>
      <c r="L11" s="567"/>
      <c r="M11" s="566"/>
      <c r="N11" s="566"/>
      <c r="O11" s="565">
        <v>1230</v>
      </c>
      <c r="P11" s="564">
        <v>1230</v>
      </c>
      <c r="Q11" s="564">
        <v>500</v>
      </c>
      <c r="R11" s="563">
        <f t="shared" si="0"/>
        <v>2960</v>
      </c>
      <c r="S11" s="562"/>
    </row>
    <row r="12" spans="1:19" x14ac:dyDescent="0.25">
      <c r="A12" s="572">
        <v>7</v>
      </c>
      <c r="B12" s="571" t="s">
        <v>46</v>
      </c>
      <c r="C12" s="570" t="s">
        <v>47</v>
      </c>
      <c r="D12" s="565"/>
      <c r="E12" s="569"/>
      <c r="F12" s="569"/>
      <c r="G12" s="569"/>
      <c r="H12" s="569"/>
      <c r="I12" s="569"/>
      <c r="J12" s="568"/>
      <c r="K12" s="564"/>
      <c r="L12" s="567"/>
      <c r="M12" s="566"/>
      <c r="N12" s="566"/>
      <c r="O12" s="565">
        <v>1700</v>
      </c>
      <c r="P12" s="564">
        <v>1500</v>
      </c>
      <c r="Q12" s="564">
        <v>1300</v>
      </c>
      <c r="R12" s="563">
        <f t="shared" si="0"/>
        <v>4500</v>
      </c>
      <c r="S12" s="562"/>
    </row>
    <row r="13" spans="1:19" x14ac:dyDescent="0.25">
      <c r="A13" s="572">
        <v>8</v>
      </c>
      <c r="B13" s="571" t="s">
        <v>171</v>
      </c>
      <c r="C13" s="584" t="s">
        <v>172</v>
      </c>
      <c r="D13" s="565"/>
      <c r="E13" s="569"/>
      <c r="F13" s="569"/>
      <c r="G13" s="569"/>
      <c r="H13" s="569"/>
      <c r="I13" s="569"/>
      <c r="J13" s="568"/>
      <c r="K13" s="564"/>
      <c r="L13" s="567"/>
      <c r="M13" s="566"/>
      <c r="N13" s="566"/>
      <c r="O13" s="565">
        <v>1600</v>
      </c>
      <c r="P13" s="564">
        <v>1600</v>
      </c>
      <c r="Q13" s="564">
        <v>1600</v>
      </c>
      <c r="R13" s="563">
        <f t="shared" si="0"/>
        <v>4800</v>
      </c>
      <c r="S13" s="562"/>
    </row>
    <row r="14" spans="1:19" x14ac:dyDescent="0.25">
      <c r="A14" s="572">
        <v>9</v>
      </c>
      <c r="B14" s="571" t="s">
        <v>185</v>
      </c>
      <c r="C14" s="583" t="s">
        <v>186</v>
      </c>
      <c r="D14" s="565"/>
      <c r="E14" s="569"/>
      <c r="F14" s="569"/>
      <c r="G14" s="569"/>
      <c r="H14" s="569"/>
      <c r="I14" s="569"/>
      <c r="J14" s="568"/>
      <c r="K14" s="564"/>
      <c r="L14" s="567"/>
      <c r="M14" s="566"/>
      <c r="N14" s="566"/>
      <c r="O14" s="565">
        <v>1100</v>
      </c>
      <c r="P14" s="564">
        <v>1100</v>
      </c>
      <c r="Q14" s="564">
        <v>1100</v>
      </c>
      <c r="R14" s="563">
        <f t="shared" si="0"/>
        <v>3300</v>
      </c>
      <c r="S14" s="562"/>
    </row>
    <row r="15" spans="1:19" x14ac:dyDescent="0.25">
      <c r="A15" s="572">
        <v>10</v>
      </c>
      <c r="B15" s="571" t="s">
        <v>62</v>
      </c>
      <c r="C15" s="570" t="s">
        <v>200</v>
      </c>
      <c r="D15" s="565"/>
      <c r="E15" s="569"/>
      <c r="F15" s="569"/>
      <c r="G15" s="569"/>
      <c r="H15" s="569"/>
      <c r="I15" s="569"/>
      <c r="J15" s="568"/>
      <c r="K15" s="564"/>
      <c r="L15" s="567"/>
      <c r="M15" s="566"/>
      <c r="N15" s="566"/>
      <c r="O15" s="565">
        <v>900</v>
      </c>
      <c r="P15" s="564">
        <v>800</v>
      </c>
      <c r="Q15" s="564">
        <v>850</v>
      </c>
      <c r="R15" s="563">
        <f t="shared" si="0"/>
        <v>2550</v>
      </c>
      <c r="S15" s="562"/>
    </row>
    <row r="16" spans="1:19" x14ac:dyDescent="0.25">
      <c r="A16" s="572">
        <v>11</v>
      </c>
      <c r="B16" s="571" t="s">
        <v>66</v>
      </c>
      <c r="C16" s="570" t="s">
        <v>202</v>
      </c>
      <c r="D16" s="565"/>
      <c r="E16" s="569"/>
      <c r="F16" s="569"/>
      <c r="G16" s="569"/>
      <c r="H16" s="569"/>
      <c r="I16" s="569"/>
      <c r="J16" s="568"/>
      <c r="K16" s="564"/>
      <c r="L16" s="567"/>
      <c r="M16" s="566"/>
      <c r="N16" s="566"/>
      <c r="O16" s="565">
        <v>1600</v>
      </c>
      <c r="P16" s="564">
        <v>1500</v>
      </c>
      <c r="Q16" s="564">
        <v>1400</v>
      </c>
      <c r="R16" s="563">
        <f t="shared" si="0"/>
        <v>4500</v>
      </c>
      <c r="S16" s="562"/>
    </row>
    <row r="17" spans="1:20" x14ac:dyDescent="0.25">
      <c r="A17" s="572">
        <v>13</v>
      </c>
      <c r="B17" s="571" t="s">
        <v>54</v>
      </c>
      <c r="C17" s="570" t="s">
        <v>222</v>
      </c>
      <c r="D17" s="565"/>
      <c r="E17" s="569"/>
      <c r="F17" s="569"/>
      <c r="G17" s="569"/>
      <c r="H17" s="569"/>
      <c r="I17" s="569"/>
      <c r="J17" s="568"/>
      <c r="K17" s="564"/>
      <c r="L17" s="567"/>
      <c r="M17" s="566"/>
      <c r="N17" s="566"/>
      <c r="O17" s="565">
        <v>2200</v>
      </c>
      <c r="P17" s="564">
        <v>2100</v>
      </c>
      <c r="Q17" s="564">
        <v>2000</v>
      </c>
      <c r="R17" s="563">
        <f t="shared" si="0"/>
        <v>6300</v>
      </c>
      <c r="S17" s="562"/>
    </row>
    <row r="18" spans="1:20" x14ac:dyDescent="0.25">
      <c r="A18" s="572">
        <v>15</v>
      </c>
      <c r="B18" s="571" t="s">
        <v>224</v>
      </c>
      <c r="C18" s="582" t="s">
        <v>225</v>
      </c>
      <c r="D18" s="565"/>
      <c r="E18" s="569"/>
      <c r="F18" s="569"/>
      <c r="G18" s="569"/>
      <c r="H18" s="569"/>
      <c r="I18" s="569"/>
      <c r="J18" s="568"/>
      <c r="K18" s="564"/>
      <c r="L18" s="567"/>
      <c r="M18" s="566"/>
      <c r="N18" s="566"/>
      <c r="O18" s="565">
        <v>1700</v>
      </c>
      <c r="P18" s="564">
        <v>1650</v>
      </c>
      <c r="Q18" s="564">
        <v>1600</v>
      </c>
      <c r="R18" s="563">
        <f t="shared" si="0"/>
        <v>4950</v>
      </c>
      <c r="S18" s="562"/>
    </row>
    <row r="19" spans="1:20" x14ac:dyDescent="0.25">
      <c r="A19" s="572">
        <v>14</v>
      </c>
      <c r="B19" s="571" t="s">
        <v>32</v>
      </c>
      <c r="C19" s="570" t="s">
        <v>33</v>
      </c>
      <c r="D19" s="565"/>
      <c r="E19" s="569"/>
      <c r="F19" s="569"/>
      <c r="G19" s="569"/>
      <c r="H19" s="569"/>
      <c r="I19" s="569"/>
      <c r="J19" s="568"/>
      <c r="K19" s="564"/>
      <c r="L19" s="567"/>
      <c r="M19" s="566"/>
      <c r="N19" s="566"/>
      <c r="O19" s="565">
        <v>800</v>
      </c>
      <c r="P19" s="564">
        <v>800</v>
      </c>
      <c r="Q19" s="564">
        <v>800</v>
      </c>
      <c r="R19" s="563">
        <f t="shared" si="0"/>
        <v>2400</v>
      </c>
      <c r="S19" s="562"/>
    </row>
    <row r="20" spans="1:20" x14ac:dyDescent="0.25">
      <c r="A20" s="572">
        <v>16</v>
      </c>
      <c r="B20" s="571" t="s">
        <v>294</v>
      </c>
      <c r="C20" s="570" t="s">
        <v>616</v>
      </c>
      <c r="D20" s="565">
        <v>380</v>
      </c>
      <c r="E20" s="569">
        <v>1640</v>
      </c>
      <c r="F20" s="569">
        <v>400</v>
      </c>
      <c r="G20" s="569">
        <v>650</v>
      </c>
      <c r="H20" s="569"/>
      <c r="I20" s="569">
        <v>1000</v>
      </c>
      <c r="J20" s="581">
        <f>D20+E20+F20+G20+H20+I20</f>
        <v>4070</v>
      </c>
      <c r="K20" s="564">
        <v>1030</v>
      </c>
      <c r="L20" s="580">
        <f>J20+K20</f>
        <v>5100</v>
      </c>
      <c r="M20" s="566"/>
      <c r="N20" s="566"/>
      <c r="O20" s="565"/>
      <c r="P20" s="564"/>
      <c r="Q20" s="564"/>
      <c r="R20" s="563"/>
      <c r="S20" s="562"/>
    </row>
    <row r="21" spans="1:20" x14ac:dyDescent="0.25">
      <c r="A21" s="572">
        <v>12</v>
      </c>
      <c r="B21" s="571" t="s">
        <v>70</v>
      </c>
      <c r="C21" s="570" t="s">
        <v>296</v>
      </c>
      <c r="D21" s="565">
        <v>3000</v>
      </c>
      <c r="E21" s="569">
        <v>2500</v>
      </c>
      <c r="F21" s="569">
        <v>300</v>
      </c>
      <c r="G21" s="569">
        <v>100</v>
      </c>
      <c r="H21" s="569">
        <v>900</v>
      </c>
      <c r="I21" s="569">
        <v>50</v>
      </c>
      <c r="J21" s="581">
        <f>D21+E21+F21+G21+H21+I21</f>
        <v>6850</v>
      </c>
      <c r="K21" s="564"/>
      <c r="L21" s="580">
        <f>J21+K21</f>
        <v>6850</v>
      </c>
      <c r="M21" s="566">
        <v>1000</v>
      </c>
      <c r="N21" s="566"/>
      <c r="O21" s="565"/>
      <c r="P21" s="564"/>
      <c r="Q21" s="564"/>
      <c r="R21" s="563"/>
      <c r="S21" s="562"/>
    </row>
    <row r="22" spans="1:20" x14ac:dyDescent="0.25">
      <c r="A22" s="572">
        <v>18</v>
      </c>
      <c r="B22" s="571" t="s">
        <v>72</v>
      </c>
      <c r="C22" s="570" t="s">
        <v>73</v>
      </c>
      <c r="D22" s="565"/>
      <c r="E22" s="569">
        <v>330</v>
      </c>
      <c r="F22" s="569">
        <v>140</v>
      </c>
      <c r="G22" s="569">
        <v>730</v>
      </c>
      <c r="H22" s="569"/>
      <c r="I22" s="569"/>
      <c r="J22" s="581">
        <f>D22+E22+F22+G22+H22+I22</f>
        <v>1200</v>
      </c>
      <c r="K22" s="564"/>
      <c r="L22" s="580">
        <f>J22+K22</f>
        <v>1200</v>
      </c>
      <c r="M22" s="566"/>
      <c r="N22" s="566"/>
      <c r="O22" s="565"/>
      <c r="P22" s="564"/>
      <c r="Q22" s="564"/>
      <c r="R22" s="563"/>
      <c r="S22" s="562"/>
    </row>
    <row r="23" spans="1:20" x14ac:dyDescent="0.25">
      <c r="A23" s="572">
        <v>17</v>
      </c>
      <c r="B23" s="571" t="s">
        <v>299</v>
      </c>
      <c r="C23" s="579" t="s">
        <v>300</v>
      </c>
      <c r="D23" s="565"/>
      <c r="E23" s="569"/>
      <c r="F23" s="569"/>
      <c r="G23" s="569"/>
      <c r="H23" s="569"/>
      <c r="I23" s="569"/>
      <c r="J23" s="568"/>
      <c r="K23" s="564"/>
      <c r="L23" s="567"/>
      <c r="M23" s="566"/>
      <c r="N23" s="566"/>
      <c r="O23" s="565">
        <v>5000</v>
      </c>
      <c r="P23" s="564">
        <v>4800</v>
      </c>
      <c r="Q23" s="564">
        <v>4800</v>
      </c>
      <c r="R23" s="563">
        <f>O23+P23+Q23</f>
        <v>14600</v>
      </c>
      <c r="S23" s="562"/>
    </row>
    <row r="24" spans="1:20" x14ac:dyDescent="0.25">
      <c r="A24" s="572">
        <v>19</v>
      </c>
      <c r="B24" s="578" t="s">
        <v>301</v>
      </c>
      <c r="C24" s="577" t="s">
        <v>302</v>
      </c>
      <c r="D24" s="574"/>
      <c r="E24" s="576"/>
      <c r="F24" s="576"/>
      <c r="G24" s="576"/>
      <c r="H24" s="576"/>
      <c r="I24" s="576"/>
      <c r="J24" s="568"/>
      <c r="K24" s="573"/>
      <c r="L24" s="567"/>
      <c r="M24" s="575"/>
      <c r="N24" s="575"/>
      <c r="O24" s="574">
        <v>2100</v>
      </c>
      <c r="P24" s="573">
        <v>2800</v>
      </c>
      <c r="Q24" s="573">
        <v>2600</v>
      </c>
      <c r="R24" s="563">
        <f>O24+P24+Q24</f>
        <v>7500</v>
      </c>
      <c r="S24" s="562">
        <v>100</v>
      </c>
    </row>
    <row r="25" spans="1:20" ht="12" thickBot="1" x14ac:dyDescent="0.3">
      <c r="A25" s="572">
        <v>20</v>
      </c>
      <c r="B25" s="571" t="s">
        <v>309</v>
      </c>
      <c r="C25" s="570" t="s">
        <v>310</v>
      </c>
      <c r="D25" s="565"/>
      <c r="E25" s="569"/>
      <c r="F25" s="569"/>
      <c r="G25" s="569"/>
      <c r="H25" s="569"/>
      <c r="I25" s="569"/>
      <c r="J25" s="568"/>
      <c r="K25" s="564"/>
      <c r="L25" s="567"/>
      <c r="M25" s="566"/>
      <c r="N25" s="566">
        <v>11035</v>
      </c>
      <c r="O25" s="565"/>
      <c r="P25" s="564"/>
      <c r="Q25" s="564"/>
      <c r="R25" s="563"/>
      <c r="S25" s="562"/>
    </row>
    <row r="26" spans="1:20" ht="12" thickBot="1" x14ac:dyDescent="0.3">
      <c r="A26" s="561"/>
      <c r="B26" s="560"/>
      <c r="C26" s="559" t="s">
        <v>536</v>
      </c>
      <c r="D26" s="556">
        <f t="shared" ref="D26:S26" si="1">SUM(D6:D25)</f>
        <v>3380</v>
      </c>
      <c r="E26" s="555">
        <f t="shared" si="1"/>
        <v>4470</v>
      </c>
      <c r="F26" s="555">
        <f t="shared" si="1"/>
        <v>840</v>
      </c>
      <c r="G26" s="555">
        <f t="shared" si="1"/>
        <v>1480</v>
      </c>
      <c r="H26" s="555">
        <f t="shared" si="1"/>
        <v>900</v>
      </c>
      <c r="I26" s="555">
        <f t="shared" si="1"/>
        <v>1050</v>
      </c>
      <c r="J26" s="555">
        <f t="shared" si="1"/>
        <v>12120</v>
      </c>
      <c r="K26" s="555">
        <f t="shared" si="1"/>
        <v>1030</v>
      </c>
      <c r="L26" s="558">
        <f t="shared" si="1"/>
        <v>13150</v>
      </c>
      <c r="M26" s="557">
        <f t="shared" si="1"/>
        <v>1000</v>
      </c>
      <c r="N26" s="557">
        <f t="shared" si="1"/>
        <v>11035</v>
      </c>
      <c r="O26" s="556">
        <f t="shared" si="1"/>
        <v>29067</v>
      </c>
      <c r="P26" s="555">
        <f t="shared" si="1"/>
        <v>28275</v>
      </c>
      <c r="Q26" s="555">
        <f t="shared" si="1"/>
        <v>26143</v>
      </c>
      <c r="R26" s="554">
        <f t="shared" si="1"/>
        <v>83485</v>
      </c>
      <c r="S26" s="553">
        <f t="shared" si="1"/>
        <v>100</v>
      </c>
    </row>
    <row r="27" spans="1:20" x14ac:dyDescent="0.25">
      <c r="A27" s="550"/>
      <c r="B27" s="550"/>
      <c r="C27" s="552"/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551"/>
      <c r="R27" s="551"/>
      <c r="S27" s="551"/>
    </row>
    <row r="28" spans="1:20" ht="16.5" customHeight="1" x14ac:dyDescent="0.25">
      <c r="A28" s="550"/>
      <c r="B28" s="550"/>
      <c r="C28" s="547"/>
      <c r="D28" s="551"/>
      <c r="E28" s="551"/>
      <c r="F28" s="551"/>
      <c r="G28" s="551"/>
      <c r="H28" s="551"/>
      <c r="I28" s="551"/>
      <c r="J28" s="551"/>
      <c r="K28" s="551"/>
      <c r="L28" s="551"/>
      <c r="M28" s="551"/>
      <c r="N28" s="551"/>
      <c r="O28" s="551"/>
      <c r="P28" s="551"/>
      <c r="Q28" s="551"/>
      <c r="R28" s="551"/>
      <c r="S28" s="551"/>
    </row>
    <row r="29" spans="1:20" s="547" customFormat="1" x14ac:dyDescent="0.25">
      <c r="A29" s="550"/>
      <c r="B29" s="550"/>
      <c r="C29" s="549"/>
      <c r="D29" s="548"/>
      <c r="E29" s="548"/>
      <c r="F29" s="548"/>
      <c r="G29" s="548"/>
      <c r="H29" s="548"/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4"/>
    </row>
    <row r="30" spans="1:20" s="547" customFormat="1" x14ac:dyDescent="0.25">
      <c r="A30" s="546"/>
      <c r="B30" s="546"/>
      <c r="C30" s="544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545"/>
      <c r="R30" s="545"/>
      <c r="S30" s="545"/>
      <c r="T30" s="544"/>
    </row>
    <row r="31" spans="1:20" s="547" customFormat="1" x14ac:dyDescent="0.25">
      <c r="A31" s="546"/>
      <c r="B31" s="546"/>
      <c r="C31" s="544"/>
      <c r="D31" s="545"/>
      <c r="E31" s="545"/>
      <c r="F31" s="545"/>
      <c r="G31" s="545"/>
      <c r="H31" s="545"/>
      <c r="I31" s="545"/>
      <c r="J31" s="545"/>
      <c r="K31" s="545"/>
      <c r="L31" s="545"/>
      <c r="M31" s="545"/>
      <c r="N31" s="545"/>
      <c r="O31" s="545"/>
      <c r="P31" s="545"/>
      <c r="Q31" s="545"/>
      <c r="R31" s="545"/>
      <c r="S31" s="545"/>
      <c r="T31" s="544"/>
    </row>
  </sheetData>
  <autoFilter ref="A5:S26" xr:uid="{00000000-0009-0000-0000-00001E000000}"/>
  <mergeCells count="16">
    <mergeCell ref="B3:B5"/>
    <mergeCell ref="A1:S1"/>
    <mergeCell ref="A3:A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27"/>
  <sheetViews>
    <sheetView zoomScale="90" zoomScaleNormal="90" workbookViewId="0">
      <pane xSplit="4" ySplit="13" topLeftCell="E14" activePane="bottomRight" state="frozen"/>
      <selection pane="topRight" activeCell="E1" sqref="E1"/>
      <selection pane="bottomLeft" activeCell="A15" sqref="A15"/>
      <selection pane="bottomRight" activeCell="C3" sqref="C3"/>
    </sheetView>
  </sheetViews>
  <sheetFormatPr defaultRowHeight="12" x14ac:dyDescent="0.25"/>
  <cols>
    <col min="1" max="1" width="4.7109375" style="592" customWidth="1"/>
    <col min="2" max="2" width="9.28515625" style="592" customWidth="1"/>
    <col min="3" max="3" width="30.7109375" style="593" customWidth="1"/>
    <col min="4" max="4" width="0.140625" style="594" customWidth="1"/>
    <col min="5" max="5" width="9.42578125" style="605" customWidth="1"/>
    <col min="6" max="7" width="11.7109375" style="605" customWidth="1"/>
    <col min="8" max="8" width="9.7109375" style="605" customWidth="1"/>
    <col min="9" max="10" width="10.140625" style="621" customWidth="1"/>
    <col min="11" max="11" width="9.7109375" style="621" customWidth="1"/>
    <col min="12" max="13" width="10.140625" style="622" customWidth="1"/>
    <col min="14" max="14" width="9.42578125" style="596" customWidth="1"/>
    <col min="15" max="16384" width="9.140625" style="596"/>
  </cols>
  <sheetData>
    <row r="1" spans="1:14" x14ac:dyDescent="0.25">
      <c r="E1" s="595"/>
      <c r="F1" s="595"/>
      <c r="G1" s="595"/>
      <c r="H1" s="595"/>
      <c r="I1" s="595"/>
      <c r="J1" s="595"/>
      <c r="K1" s="595"/>
      <c r="L1" s="595"/>
      <c r="M1" s="595"/>
    </row>
    <row r="2" spans="1:14" ht="15.75" customHeight="1" x14ac:dyDescent="0.25">
      <c r="C2" s="1376" t="s">
        <v>727</v>
      </c>
      <c r="D2" s="1376"/>
      <c r="E2" s="1376"/>
      <c r="F2" s="1376"/>
      <c r="G2" s="1376"/>
      <c r="H2" s="1376"/>
      <c r="I2" s="1376"/>
      <c r="J2" s="1376"/>
      <c r="K2" s="1376"/>
      <c r="L2" s="1376"/>
      <c r="M2" s="624"/>
    </row>
    <row r="3" spans="1:14" x14ac:dyDescent="0.25">
      <c r="C3" s="597"/>
      <c r="D3" s="597"/>
      <c r="E3" s="598"/>
      <c r="F3" s="598"/>
      <c r="G3" s="598"/>
      <c r="H3" s="598"/>
      <c r="I3" s="599"/>
      <c r="J3" s="599"/>
      <c r="K3" s="599"/>
      <c r="L3" s="600"/>
      <c r="M3" s="600"/>
    </row>
    <row r="4" spans="1:14" s="601" customFormat="1" ht="15.75" customHeight="1" x14ac:dyDescent="0.25">
      <c r="A4" s="1377" t="s">
        <v>0</v>
      </c>
      <c r="B4" s="1377" t="s">
        <v>1</v>
      </c>
      <c r="C4" s="1378" t="s">
        <v>93</v>
      </c>
      <c r="D4" s="1377" t="s">
        <v>682</v>
      </c>
      <c r="E4" s="1379" t="s">
        <v>683</v>
      </c>
      <c r="F4" s="1379"/>
      <c r="G4" s="1379"/>
      <c r="H4" s="1379"/>
      <c r="I4" s="1379"/>
      <c r="J4" s="1379"/>
      <c r="K4" s="1379"/>
      <c r="L4" s="1379"/>
      <c r="M4" s="1379"/>
      <c r="N4" s="1379"/>
    </row>
    <row r="5" spans="1:14" ht="11.25" customHeight="1" x14ac:dyDescent="0.25">
      <c r="A5" s="1377"/>
      <c r="B5" s="1377"/>
      <c r="C5" s="1378"/>
      <c r="D5" s="1377"/>
      <c r="E5" s="1379"/>
      <c r="F5" s="1379"/>
      <c r="G5" s="1379"/>
      <c r="H5" s="1379"/>
      <c r="I5" s="1379"/>
      <c r="J5" s="1379"/>
      <c r="K5" s="1379"/>
      <c r="L5" s="1379"/>
      <c r="M5" s="1379"/>
      <c r="N5" s="1379"/>
    </row>
    <row r="6" spans="1:14" ht="11.25" customHeight="1" x14ac:dyDescent="0.25">
      <c r="A6" s="1377"/>
      <c r="B6" s="1377"/>
      <c r="C6" s="1378"/>
      <c r="D6" s="1377"/>
      <c r="E6" s="1374" t="s">
        <v>684</v>
      </c>
      <c r="F6" s="1380" t="s">
        <v>477</v>
      </c>
      <c r="G6" s="1381"/>
      <c r="H6" s="1381"/>
      <c r="I6" s="1381"/>
      <c r="J6" s="1381"/>
      <c r="K6" s="1381"/>
      <c r="L6" s="1382"/>
      <c r="M6" s="1383" t="s">
        <v>693</v>
      </c>
      <c r="N6" s="1383" t="s">
        <v>694</v>
      </c>
    </row>
    <row r="7" spans="1:14" ht="25.5" customHeight="1" x14ac:dyDescent="0.25">
      <c r="A7" s="1377"/>
      <c r="B7" s="1377"/>
      <c r="C7" s="1378"/>
      <c r="D7" s="1377"/>
      <c r="E7" s="1374"/>
      <c r="F7" s="1374" t="s">
        <v>685</v>
      </c>
      <c r="G7" s="1386" t="s">
        <v>686</v>
      </c>
      <c r="H7" s="1387"/>
      <c r="I7" s="1374" t="s">
        <v>687</v>
      </c>
      <c r="J7" s="1386" t="s">
        <v>686</v>
      </c>
      <c r="K7" s="1387"/>
      <c r="L7" s="1374" t="s">
        <v>688</v>
      </c>
      <c r="M7" s="1384"/>
      <c r="N7" s="1384"/>
    </row>
    <row r="8" spans="1:14" ht="90.75" customHeight="1" x14ac:dyDescent="0.25">
      <c r="A8" s="1377"/>
      <c r="B8" s="1377"/>
      <c r="C8" s="1378"/>
      <c r="D8" s="1377"/>
      <c r="E8" s="1374"/>
      <c r="F8" s="1374"/>
      <c r="G8" s="602" t="s">
        <v>690</v>
      </c>
      <c r="H8" s="602" t="s">
        <v>689</v>
      </c>
      <c r="I8" s="1374"/>
      <c r="J8" s="602" t="s">
        <v>691</v>
      </c>
      <c r="K8" s="602" t="s">
        <v>689</v>
      </c>
      <c r="L8" s="1374"/>
      <c r="M8" s="1385"/>
      <c r="N8" s="1385"/>
    </row>
    <row r="9" spans="1:14" s="601" customFormat="1" x14ac:dyDescent="0.25">
      <c r="A9" s="1375" t="s">
        <v>3</v>
      </c>
      <c r="B9" s="1375"/>
      <c r="C9" s="1375"/>
      <c r="D9" s="603"/>
      <c r="E9" s="604">
        <f>E10+E13</f>
        <v>1127849</v>
      </c>
      <c r="F9" s="604">
        <f t="shared" ref="F9:M9" si="0">F10+F13</f>
        <v>1047463</v>
      </c>
      <c r="G9" s="604">
        <v>585</v>
      </c>
      <c r="H9" s="604">
        <f t="shared" si="0"/>
        <v>1413</v>
      </c>
      <c r="I9" s="604">
        <f t="shared" si="0"/>
        <v>59252</v>
      </c>
      <c r="J9" s="604">
        <v>20</v>
      </c>
      <c r="K9" s="604">
        <f t="shared" si="0"/>
        <v>113</v>
      </c>
      <c r="L9" s="604">
        <f t="shared" si="0"/>
        <v>21134</v>
      </c>
      <c r="M9" s="604">
        <f t="shared" si="0"/>
        <v>1526</v>
      </c>
      <c r="N9" s="604">
        <f>N10+N13</f>
        <v>56394</v>
      </c>
    </row>
    <row r="10" spans="1:14" s="610" customFormat="1" ht="11.25" customHeight="1" x14ac:dyDescent="0.25">
      <c r="A10" s="606"/>
      <c r="B10" s="606"/>
      <c r="C10" s="607" t="s">
        <v>105</v>
      </c>
      <c r="D10" s="608"/>
      <c r="E10" s="609">
        <f>F10+I10+L10</f>
        <v>21158</v>
      </c>
      <c r="F10" s="609">
        <v>21158</v>
      </c>
      <c r="G10" s="609"/>
      <c r="H10" s="609">
        <v>122</v>
      </c>
      <c r="I10" s="609"/>
      <c r="J10" s="609"/>
      <c r="K10" s="609"/>
      <c r="L10" s="609"/>
      <c r="M10" s="609">
        <v>122</v>
      </c>
      <c r="N10" s="609">
        <v>1058</v>
      </c>
    </row>
    <row r="11" spans="1:14" s="610" customFormat="1" ht="11.25" customHeight="1" x14ac:dyDescent="0.25">
      <c r="A11" s="606"/>
      <c r="B11" s="606"/>
      <c r="C11" s="607" t="s">
        <v>106</v>
      </c>
      <c r="D11" s="608"/>
      <c r="E11" s="609"/>
      <c r="F11" s="609"/>
      <c r="G11" s="609"/>
      <c r="H11" s="609"/>
      <c r="I11" s="607"/>
      <c r="J11" s="607"/>
      <c r="K11" s="607"/>
      <c r="L11" s="607"/>
      <c r="M11" s="607"/>
      <c r="N11" s="609"/>
    </row>
    <row r="12" spans="1:14" s="610" customFormat="1" ht="11.25" customHeight="1" x14ac:dyDescent="0.25">
      <c r="A12" s="606"/>
      <c r="B12" s="606"/>
      <c r="C12" s="607" t="s">
        <v>107</v>
      </c>
      <c r="D12" s="608"/>
      <c r="E12" s="607"/>
      <c r="F12" s="607"/>
      <c r="G12" s="607"/>
      <c r="H12" s="607"/>
      <c r="I12" s="607"/>
      <c r="J12" s="607"/>
      <c r="K12" s="607"/>
      <c r="L12" s="607"/>
      <c r="M12" s="607"/>
      <c r="N12" s="607"/>
    </row>
    <row r="13" spans="1:14" s="601" customFormat="1" x14ac:dyDescent="0.25">
      <c r="A13" s="1375" t="s">
        <v>108</v>
      </c>
      <c r="B13" s="1375"/>
      <c r="C13" s="1375"/>
      <c r="D13" s="604"/>
      <c r="E13" s="604">
        <f>SUM(E14:E23)</f>
        <v>1106691</v>
      </c>
      <c r="F13" s="604">
        <f t="shared" ref="F13:M13" si="1">SUM(F14:F23)</f>
        <v>1026305</v>
      </c>
      <c r="G13" s="604">
        <v>585</v>
      </c>
      <c r="H13" s="604">
        <f t="shared" si="1"/>
        <v>1291</v>
      </c>
      <c r="I13" s="604">
        <f t="shared" si="1"/>
        <v>59252</v>
      </c>
      <c r="J13" s="604">
        <v>20</v>
      </c>
      <c r="K13" s="604">
        <f t="shared" si="1"/>
        <v>113</v>
      </c>
      <c r="L13" s="604">
        <f t="shared" si="1"/>
        <v>21134</v>
      </c>
      <c r="M13" s="604">
        <f t="shared" si="1"/>
        <v>1404</v>
      </c>
      <c r="N13" s="604">
        <f>SUM(N14:N23)</f>
        <v>55336</v>
      </c>
    </row>
    <row r="14" spans="1:14" s="616" customFormat="1" x14ac:dyDescent="0.25">
      <c r="A14" s="611">
        <v>1</v>
      </c>
      <c r="B14" s="612" t="s">
        <v>80</v>
      </c>
      <c r="C14" s="613" t="s">
        <v>81</v>
      </c>
      <c r="D14" s="614">
        <v>0.85</v>
      </c>
      <c r="E14" s="609">
        <f t="shared" ref="E14:E23" si="2">F14+I14+L14</f>
        <v>42722</v>
      </c>
      <c r="F14" s="615">
        <v>42722</v>
      </c>
      <c r="G14" s="615">
        <v>53</v>
      </c>
      <c r="H14" s="615">
        <v>52</v>
      </c>
      <c r="I14" s="609"/>
      <c r="J14" s="609"/>
      <c r="K14" s="609"/>
      <c r="L14" s="609"/>
      <c r="M14" s="609">
        <f t="shared" ref="M14:M23" si="3">H14+K14</f>
        <v>52</v>
      </c>
      <c r="N14" s="609">
        <v>2136</v>
      </c>
    </row>
    <row r="15" spans="1:14" s="616" customFormat="1" x14ac:dyDescent="0.25">
      <c r="A15" s="611">
        <v>2</v>
      </c>
      <c r="B15" s="612" t="s">
        <v>117</v>
      </c>
      <c r="C15" s="613" t="s">
        <v>118</v>
      </c>
      <c r="D15" s="614">
        <v>0.85</v>
      </c>
      <c r="E15" s="609">
        <f t="shared" si="2"/>
        <v>91191</v>
      </c>
      <c r="F15" s="615">
        <v>90856</v>
      </c>
      <c r="G15" s="615">
        <v>74</v>
      </c>
      <c r="H15" s="615">
        <v>2</v>
      </c>
      <c r="I15" s="615">
        <v>335</v>
      </c>
      <c r="J15" s="615">
        <v>1</v>
      </c>
      <c r="K15" s="615"/>
      <c r="L15" s="609"/>
      <c r="M15" s="609">
        <f t="shared" si="3"/>
        <v>2</v>
      </c>
      <c r="N15" s="609">
        <v>4560</v>
      </c>
    </row>
    <row r="16" spans="1:14" s="616" customFormat="1" x14ac:dyDescent="0.25">
      <c r="A16" s="611">
        <v>3</v>
      </c>
      <c r="B16" s="612" t="s">
        <v>30</v>
      </c>
      <c r="C16" s="613" t="s">
        <v>31</v>
      </c>
      <c r="D16" s="614">
        <v>0.85</v>
      </c>
      <c r="E16" s="609">
        <f t="shared" si="2"/>
        <v>62155</v>
      </c>
      <c r="F16" s="615">
        <v>62155</v>
      </c>
      <c r="G16" s="615">
        <v>72</v>
      </c>
      <c r="H16" s="615">
        <v>17</v>
      </c>
      <c r="I16" s="609"/>
      <c r="J16" s="609"/>
      <c r="K16" s="609"/>
      <c r="L16" s="609"/>
      <c r="M16" s="609">
        <f t="shared" si="3"/>
        <v>17</v>
      </c>
      <c r="N16" s="609">
        <v>3108</v>
      </c>
    </row>
    <row r="17" spans="1:14" s="616" customFormat="1" x14ac:dyDescent="0.25">
      <c r="A17" s="611">
        <v>4</v>
      </c>
      <c r="B17" s="617" t="s">
        <v>141</v>
      </c>
      <c r="C17" s="618" t="s">
        <v>142</v>
      </c>
      <c r="D17" s="614">
        <v>0.85</v>
      </c>
      <c r="E17" s="609">
        <f t="shared" si="2"/>
        <v>42752</v>
      </c>
      <c r="F17" s="609">
        <v>42752</v>
      </c>
      <c r="G17" s="609">
        <v>48</v>
      </c>
      <c r="H17" s="609">
        <v>17</v>
      </c>
      <c r="I17" s="609"/>
      <c r="J17" s="609"/>
      <c r="K17" s="609"/>
      <c r="L17" s="609"/>
      <c r="M17" s="609">
        <f t="shared" si="3"/>
        <v>17</v>
      </c>
      <c r="N17" s="609">
        <v>2138</v>
      </c>
    </row>
    <row r="18" spans="1:14" s="616" customFormat="1" x14ac:dyDescent="0.25">
      <c r="A18" s="611">
        <v>5</v>
      </c>
      <c r="B18" s="612" t="s">
        <v>143</v>
      </c>
      <c r="C18" s="613" t="s">
        <v>144</v>
      </c>
      <c r="D18" s="614">
        <v>0.85</v>
      </c>
      <c r="E18" s="609">
        <f t="shared" si="2"/>
        <v>3861</v>
      </c>
      <c r="F18" s="615">
        <v>1415</v>
      </c>
      <c r="G18" s="615">
        <v>1</v>
      </c>
      <c r="H18" s="615"/>
      <c r="I18" s="615">
        <v>2446</v>
      </c>
      <c r="J18" s="615">
        <v>1</v>
      </c>
      <c r="K18" s="615"/>
      <c r="L18" s="609"/>
      <c r="M18" s="609">
        <f t="shared" si="3"/>
        <v>0</v>
      </c>
      <c r="N18" s="609">
        <v>193</v>
      </c>
    </row>
    <row r="19" spans="1:14" s="616" customFormat="1" ht="24" x14ac:dyDescent="0.25">
      <c r="A19" s="611">
        <v>6</v>
      </c>
      <c r="B19" s="617" t="s">
        <v>155</v>
      </c>
      <c r="C19" s="618" t="s">
        <v>416</v>
      </c>
      <c r="D19" s="614">
        <v>0.85</v>
      </c>
      <c r="E19" s="609">
        <f t="shared" si="2"/>
        <v>186213</v>
      </c>
      <c r="F19" s="615">
        <v>176439</v>
      </c>
      <c r="G19" s="615">
        <v>102</v>
      </c>
      <c r="H19" s="615">
        <v>208</v>
      </c>
      <c r="I19" s="615">
        <v>9774</v>
      </c>
      <c r="J19" s="615">
        <v>4</v>
      </c>
      <c r="K19" s="615">
        <v>11</v>
      </c>
      <c r="L19" s="609"/>
      <c r="M19" s="609">
        <f t="shared" si="3"/>
        <v>219</v>
      </c>
      <c r="N19" s="609">
        <v>9311</v>
      </c>
    </row>
    <row r="20" spans="1:14" s="616" customFormat="1" x14ac:dyDescent="0.25">
      <c r="A20" s="611">
        <v>7</v>
      </c>
      <c r="B20" s="619" t="s">
        <v>157</v>
      </c>
      <c r="C20" s="618" t="s">
        <v>158</v>
      </c>
      <c r="D20" s="614">
        <v>0.85</v>
      </c>
      <c r="E20" s="609">
        <f t="shared" si="2"/>
        <v>62607</v>
      </c>
      <c r="F20" s="615">
        <v>62607</v>
      </c>
      <c r="G20" s="615">
        <v>34</v>
      </c>
      <c r="H20" s="615">
        <v>115</v>
      </c>
      <c r="I20" s="609"/>
      <c r="J20" s="609"/>
      <c r="K20" s="609"/>
      <c r="L20" s="609"/>
      <c r="M20" s="609">
        <f t="shared" si="3"/>
        <v>115</v>
      </c>
      <c r="N20" s="609">
        <v>3130</v>
      </c>
    </row>
    <row r="21" spans="1:14" s="616" customFormat="1" x14ac:dyDescent="0.25">
      <c r="A21" s="611">
        <v>8</v>
      </c>
      <c r="B21" s="612" t="s">
        <v>171</v>
      </c>
      <c r="C21" s="613" t="s">
        <v>172</v>
      </c>
      <c r="D21" s="614">
        <v>0.85</v>
      </c>
      <c r="E21" s="609">
        <f t="shared" si="2"/>
        <v>109561</v>
      </c>
      <c r="F21" s="615">
        <v>108785</v>
      </c>
      <c r="G21" s="615">
        <v>105</v>
      </c>
      <c r="H21" s="615">
        <v>317</v>
      </c>
      <c r="I21" s="615">
        <v>776</v>
      </c>
      <c r="J21" s="615">
        <v>1</v>
      </c>
      <c r="K21" s="615"/>
      <c r="L21" s="609"/>
      <c r="M21" s="609">
        <f t="shared" si="3"/>
        <v>317</v>
      </c>
      <c r="N21" s="609">
        <v>5478</v>
      </c>
    </row>
    <row r="22" spans="1:14" s="616" customFormat="1" x14ac:dyDescent="0.25">
      <c r="A22" s="611">
        <v>9</v>
      </c>
      <c r="B22" s="619" t="s">
        <v>226</v>
      </c>
      <c r="C22" s="220" t="s">
        <v>692</v>
      </c>
      <c r="D22" s="614">
        <v>0.9</v>
      </c>
      <c r="E22" s="609">
        <f t="shared" si="2"/>
        <v>476534</v>
      </c>
      <c r="F22" s="609">
        <v>409479</v>
      </c>
      <c r="G22" s="609">
        <v>76</v>
      </c>
      <c r="H22" s="609">
        <v>543</v>
      </c>
      <c r="I22" s="609">
        <v>45921</v>
      </c>
      <c r="J22" s="609">
        <v>13</v>
      </c>
      <c r="K22" s="609">
        <v>102</v>
      </c>
      <c r="L22" s="609">
        <v>21134</v>
      </c>
      <c r="M22" s="609">
        <f t="shared" si="3"/>
        <v>645</v>
      </c>
      <c r="N22" s="609">
        <v>23827</v>
      </c>
    </row>
    <row r="23" spans="1:14" s="616" customFormat="1" x14ac:dyDescent="0.25">
      <c r="A23" s="611">
        <v>10</v>
      </c>
      <c r="B23" s="619" t="s">
        <v>32</v>
      </c>
      <c r="C23" s="618" t="s">
        <v>33</v>
      </c>
      <c r="D23" s="614">
        <v>0.91</v>
      </c>
      <c r="E23" s="609">
        <f t="shared" si="2"/>
        <v>29095</v>
      </c>
      <c r="F23" s="615">
        <v>29095</v>
      </c>
      <c r="G23" s="615">
        <v>20</v>
      </c>
      <c r="H23" s="615">
        <v>20</v>
      </c>
      <c r="I23" s="609"/>
      <c r="J23" s="609"/>
      <c r="K23" s="609"/>
      <c r="L23" s="609"/>
      <c r="M23" s="609">
        <f t="shared" si="3"/>
        <v>20</v>
      </c>
      <c r="N23" s="609">
        <v>1455</v>
      </c>
    </row>
    <row r="26" spans="1:14" x14ac:dyDescent="0.25">
      <c r="E26" s="620"/>
    </row>
    <row r="27" spans="1:14" x14ac:dyDescent="0.25">
      <c r="E27" s="623"/>
    </row>
  </sheetData>
  <mergeCells count="17">
    <mergeCell ref="A13:C13"/>
    <mergeCell ref="F7:F8"/>
    <mergeCell ref="G7:H7"/>
    <mergeCell ref="I7:I8"/>
    <mergeCell ref="J7:K7"/>
    <mergeCell ref="L7:L8"/>
    <mergeCell ref="A9:C9"/>
    <mergeCell ref="C2:L2"/>
    <mergeCell ref="A4:A8"/>
    <mergeCell ref="B4:B8"/>
    <mergeCell ref="C4:C8"/>
    <mergeCell ref="D4:D8"/>
    <mergeCell ref="E4:N5"/>
    <mergeCell ref="E6:E8"/>
    <mergeCell ref="F6:L6"/>
    <mergeCell ref="M6:M8"/>
    <mergeCell ref="N6:N8"/>
  </mergeCells>
  <pageMargins left="0" right="0" top="0" bottom="0" header="0" footer="0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>
      <selection activeCell="L37" sqref="L3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activeCell="C13" sqref="C13"/>
    </sheetView>
  </sheetViews>
  <sheetFormatPr defaultRowHeight="12.75" x14ac:dyDescent="0.25"/>
  <cols>
    <col min="1" max="1" width="21.140625" style="684" customWidth="1"/>
    <col min="2" max="4" width="22.28515625" style="670" customWidth="1"/>
    <col min="5" max="16384" width="9.140625" style="670"/>
  </cols>
  <sheetData>
    <row r="1" spans="1:4" ht="59.25" customHeight="1" x14ac:dyDescent="0.25">
      <c r="A1" s="954" t="s">
        <v>726</v>
      </c>
      <c r="B1" s="954"/>
      <c r="C1" s="954"/>
      <c r="D1" s="954"/>
    </row>
    <row r="2" spans="1:4" ht="18.75" customHeight="1" x14ac:dyDescent="0.25">
      <c r="A2" s="671"/>
      <c r="B2" s="671"/>
      <c r="C2" s="671"/>
    </row>
    <row r="3" spans="1:4" s="674" customFormat="1" ht="45" customHeight="1" x14ac:dyDescent="0.25">
      <c r="A3" s="672" t="s">
        <v>488</v>
      </c>
      <c r="B3" s="672" t="s">
        <v>489</v>
      </c>
      <c r="C3" s="673" t="s">
        <v>310</v>
      </c>
      <c r="D3" s="673" t="s">
        <v>108</v>
      </c>
    </row>
    <row r="4" spans="1:4" s="674" customFormat="1" ht="18.75" customHeight="1" x14ac:dyDescent="0.25">
      <c r="A4" s="675" t="s">
        <v>516</v>
      </c>
      <c r="B4" s="675"/>
      <c r="C4" s="676"/>
      <c r="D4" s="677"/>
    </row>
    <row r="5" spans="1:4" s="674" customFormat="1" ht="14.25" customHeight="1" x14ac:dyDescent="0.25">
      <c r="A5" s="675">
        <v>24</v>
      </c>
      <c r="B5" s="676"/>
      <c r="C5" s="678">
        <v>50</v>
      </c>
      <c r="D5" s="679">
        <f>B5+C5</f>
        <v>50</v>
      </c>
    </row>
    <row r="6" spans="1:4" s="674" customFormat="1" ht="14.25" customHeight="1" x14ac:dyDescent="0.25">
      <c r="A6" s="675">
        <v>25</v>
      </c>
      <c r="B6" s="676">
        <v>80</v>
      </c>
      <c r="C6" s="678">
        <v>45</v>
      </c>
      <c r="D6" s="679">
        <f>B6+C6</f>
        <v>125</v>
      </c>
    </row>
    <row r="7" spans="1:4" s="674" customFormat="1" ht="14.25" customHeight="1" x14ac:dyDescent="0.25">
      <c r="A7" s="675">
        <v>26</v>
      </c>
      <c r="B7" s="676">
        <v>46</v>
      </c>
      <c r="C7" s="678"/>
      <c r="D7" s="679">
        <f>B7+C7</f>
        <v>46</v>
      </c>
    </row>
    <row r="8" spans="1:4" s="674" customFormat="1" ht="18.75" customHeight="1" x14ac:dyDescent="0.25">
      <c r="A8" s="680" t="s">
        <v>331</v>
      </c>
      <c r="B8" s="681">
        <f>SUM(B5:B7)</f>
        <v>126</v>
      </c>
      <c r="C8" s="681">
        <f t="shared" ref="C8:D8" si="0">SUM(C5:C7)</f>
        <v>95</v>
      </c>
      <c r="D8" s="681">
        <f t="shared" si="0"/>
        <v>221</v>
      </c>
    </row>
    <row r="9" spans="1:4" s="683" customFormat="1" ht="15.75" x14ac:dyDescent="0.25">
      <c r="A9" s="682"/>
    </row>
    <row r="10" spans="1:4" s="683" customFormat="1" ht="15.75" x14ac:dyDescent="0.25">
      <c r="A10" s="682"/>
    </row>
    <row r="11" spans="1:4" s="683" customFormat="1" ht="15.75" x14ac:dyDescent="0.25">
      <c r="A11" s="682"/>
    </row>
    <row r="12" spans="1:4" s="683" customFormat="1" ht="15.75" x14ac:dyDescent="0.25">
      <c r="A12" s="682"/>
    </row>
    <row r="13" spans="1:4" s="683" customFormat="1" ht="15.75" x14ac:dyDescent="0.25">
      <c r="A13" s="682"/>
    </row>
    <row r="14" spans="1:4" s="683" customFormat="1" ht="15.75" x14ac:dyDescent="0.25">
      <c r="A14" s="682"/>
    </row>
    <row r="15" spans="1:4" s="683" customFormat="1" ht="15.75" x14ac:dyDescent="0.25">
      <c r="A15" s="682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3"/>
  <sheetViews>
    <sheetView zoomScale="110" zoomScaleNormal="110" workbookViewId="0">
      <pane xSplit="4" ySplit="7" topLeftCell="O8" activePane="bottomRight" state="frozen"/>
      <selection pane="topRight" activeCell="E1" sqref="E1"/>
      <selection pane="bottomLeft" activeCell="A8" sqref="A8"/>
      <selection pane="bottomRight" activeCell="R10" sqref="R10"/>
    </sheetView>
  </sheetViews>
  <sheetFormatPr defaultRowHeight="11.25" x14ac:dyDescent="0.2"/>
  <cols>
    <col min="1" max="1" width="3.7109375" style="627" customWidth="1"/>
    <col min="2" max="2" width="9.140625" style="627"/>
    <col min="3" max="3" width="27.7109375" style="627" customWidth="1"/>
    <col min="4" max="4" width="9.140625" style="627"/>
    <col min="5" max="6" width="12" style="627" customWidth="1"/>
    <col min="7" max="7" width="11.140625" style="841" customWidth="1"/>
    <col min="8" max="8" width="12" style="627" customWidth="1"/>
    <col min="9" max="9" width="11" style="627" customWidth="1"/>
    <col min="10" max="10" width="11.7109375" style="627" customWidth="1"/>
    <col min="11" max="11" width="11.42578125" style="627" customWidth="1"/>
    <col min="12" max="13" width="12.7109375" style="627" customWidth="1"/>
    <col min="14" max="14" width="12.28515625" style="627" customWidth="1"/>
    <col min="15" max="15" width="11.28515625" style="627" customWidth="1"/>
    <col min="16" max="16" width="8.28515625" style="627" customWidth="1"/>
    <col min="17" max="17" width="13.28515625" style="627" customWidth="1"/>
    <col min="18" max="18" width="11" style="627" customWidth="1"/>
    <col min="19" max="16384" width="9.140625" style="627"/>
  </cols>
  <sheetData>
    <row r="1" spans="1:18" s="625" customFormat="1" ht="15.75" x14ac:dyDescent="0.25">
      <c r="A1" s="960" t="s">
        <v>695</v>
      </c>
      <c r="B1" s="960"/>
      <c r="C1" s="960"/>
      <c r="D1" s="960"/>
      <c r="E1" s="960"/>
      <c r="F1" s="960"/>
      <c r="G1" s="960"/>
      <c r="H1" s="960"/>
      <c r="I1" s="960"/>
      <c r="J1" s="960"/>
      <c r="K1" s="960"/>
      <c r="L1" s="960"/>
      <c r="M1" s="960"/>
      <c r="N1" s="960"/>
      <c r="O1" s="960"/>
      <c r="P1" s="960"/>
      <c r="Q1" s="960"/>
      <c r="R1" s="960"/>
    </row>
    <row r="3" spans="1:18" x14ac:dyDescent="0.2">
      <c r="A3" s="961" t="s">
        <v>0</v>
      </c>
      <c r="B3" s="962" t="s">
        <v>356</v>
      </c>
      <c r="C3" s="965" t="s">
        <v>2</v>
      </c>
      <c r="D3" s="968" t="s">
        <v>696</v>
      </c>
      <c r="E3" s="971" t="s">
        <v>697</v>
      </c>
      <c r="F3" s="972"/>
      <c r="G3" s="972"/>
      <c r="H3" s="972"/>
      <c r="I3" s="972"/>
      <c r="J3" s="973"/>
      <c r="K3" s="974" t="s">
        <v>698</v>
      </c>
      <c r="L3" s="974"/>
      <c r="M3" s="974"/>
      <c r="N3" s="974"/>
      <c r="O3" s="974"/>
      <c r="P3" s="974"/>
      <c r="Q3" s="974"/>
      <c r="R3" s="974"/>
    </row>
    <row r="4" spans="1:18" ht="16.5" customHeight="1" x14ac:dyDescent="0.2">
      <c r="A4" s="961"/>
      <c r="B4" s="963"/>
      <c r="C4" s="966"/>
      <c r="D4" s="969"/>
      <c r="E4" s="975" t="s">
        <v>699</v>
      </c>
      <c r="F4" s="976"/>
      <c r="G4" s="979" t="s">
        <v>700</v>
      </c>
      <c r="H4" s="979"/>
      <c r="I4" s="979"/>
      <c r="J4" s="979"/>
      <c r="K4" s="980" t="s">
        <v>701</v>
      </c>
      <c r="L4" s="980"/>
      <c r="M4" s="980"/>
      <c r="N4" s="981" t="s">
        <v>699</v>
      </c>
      <c r="O4" s="982"/>
      <c r="P4" s="982"/>
      <c r="Q4" s="982"/>
      <c r="R4" s="983"/>
    </row>
    <row r="5" spans="1:18" ht="20.25" customHeight="1" x14ac:dyDescent="0.2">
      <c r="A5" s="961"/>
      <c r="B5" s="963"/>
      <c r="C5" s="966"/>
      <c r="D5" s="969"/>
      <c r="E5" s="977"/>
      <c r="F5" s="978"/>
      <c r="G5" s="979"/>
      <c r="H5" s="979"/>
      <c r="I5" s="979"/>
      <c r="J5" s="979"/>
      <c r="K5" s="800" t="s">
        <v>702</v>
      </c>
      <c r="L5" s="980" t="s">
        <v>700</v>
      </c>
      <c r="M5" s="980"/>
      <c r="N5" s="984"/>
      <c r="O5" s="985"/>
      <c r="P5" s="985"/>
      <c r="Q5" s="985"/>
      <c r="R5" s="986"/>
    </row>
    <row r="6" spans="1:18" ht="15" customHeight="1" x14ac:dyDescent="0.2">
      <c r="A6" s="961"/>
      <c r="B6" s="963"/>
      <c r="C6" s="966"/>
      <c r="D6" s="969"/>
      <c r="E6" s="958" t="s">
        <v>703</v>
      </c>
      <c r="F6" s="955" t="s">
        <v>704</v>
      </c>
      <c r="G6" s="958" t="s">
        <v>705</v>
      </c>
      <c r="H6" s="957" t="s">
        <v>703</v>
      </c>
      <c r="I6" s="957" t="s">
        <v>706</v>
      </c>
      <c r="J6" s="957"/>
      <c r="K6" s="955" t="s">
        <v>703</v>
      </c>
      <c r="L6" s="955" t="s">
        <v>707</v>
      </c>
      <c r="M6" s="958" t="s">
        <v>705</v>
      </c>
      <c r="N6" s="955" t="s">
        <v>704</v>
      </c>
      <c r="O6" s="955" t="s">
        <v>707</v>
      </c>
      <c r="P6" s="955" t="s">
        <v>708</v>
      </c>
      <c r="Q6" s="957" t="s">
        <v>709</v>
      </c>
      <c r="R6" s="958" t="s">
        <v>705</v>
      </c>
    </row>
    <row r="7" spans="1:18" ht="33.75" customHeight="1" x14ac:dyDescent="0.2">
      <c r="A7" s="961"/>
      <c r="B7" s="964"/>
      <c r="C7" s="967"/>
      <c r="D7" s="970"/>
      <c r="E7" s="959"/>
      <c r="F7" s="956"/>
      <c r="G7" s="959"/>
      <c r="H7" s="957"/>
      <c r="I7" s="799" t="s">
        <v>710</v>
      </c>
      <c r="J7" s="799" t="s">
        <v>711</v>
      </c>
      <c r="K7" s="956"/>
      <c r="L7" s="956"/>
      <c r="M7" s="959"/>
      <c r="N7" s="956"/>
      <c r="O7" s="956"/>
      <c r="P7" s="956"/>
      <c r="Q7" s="957"/>
      <c r="R7" s="959"/>
    </row>
    <row r="8" spans="1:18" ht="15" customHeight="1" x14ac:dyDescent="0.2">
      <c r="A8" s="628">
        <v>1</v>
      </c>
      <c r="B8" s="629" t="s">
        <v>294</v>
      </c>
      <c r="C8" s="630" t="s">
        <v>712</v>
      </c>
      <c r="D8" s="631">
        <f>SUM(E8:R8)</f>
        <v>2669</v>
      </c>
      <c r="E8" s="800"/>
      <c r="F8" s="800"/>
      <c r="G8" s="840"/>
      <c r="H8" s="800">
        <v>300</v>
      </c>
      <c r="I8" s="800">
        <v>50</v>
      </c>
      <c r="J8" s="800">
        <v>24</v>
      </c>
      <c r="K8" s="632">
        <v>520</v>
      </c>
      <c r="L8" s="800">
        <v>1325</v>
      </c>
      <c r="M8" s="800">
        <f>0+90</f>
        <v>90</v>
      </c>
      <c r="N8" s="800"/>
      <c r="O8" s="800"/>
      <c r="P8" s="800"/>
      <c r="Q8" s="800"/>
      <c r="R8" s="800">
        <v>360</v>
      </c>
    </row>
    <row r="9" spans="1:18" x14ac:dyDescent="0.2">
      <c r="A9" s="628">
        <v>2</v>
      </c>
      <c r="B9" s="633" t="s">
        <v>34</v>
      </c>
      <c r="C9" s="634" t="s">
        <v>35</v>
      </c>
      <c r="D9" s="631">
        <f t="shared" ref="D9:D22" si="0">SUM(E9:R9)</f>
        <v>3063</v>
      </c>
      <c r="E9" s="800"/>
      <c r="F9" s="800"/>
      <c r="G9" s="840"/>
      <c r="H9" s="800">
        <v>15</v>
      </c>
      <c r="I9" s="800"/>
      <c r="J9" s="800"/>
      <c r="K9" s="635"/>
      <c r="L9" s="635"/>
      <c r="M9" s="635"/>
      <c r="N9" s="800"/>
      <c r="O9" s="800">
        <v>590</v>
      </c>
      <c r="P9" s="800">
        <v>190</v>
      </c>
      <c r="Q9" s="800">
        <v>306</v>
      </c>
      <c r="R9" s="800">
        <v>1962</v>
      </c>
    </row>
    <row r="10" spans="1:18" x14ac:dyDescent="0.2">
      <c r="A10" s="628">
        <v>3</v>
      </c>
      <c r="B10" s="629" t="s">
        <v>72</v>
      </c>
      <c r="C10" s="634" t="s">
        <v>73</v>
      </c>
      <c r="D10" s="631">
        <f t="shared" si="0"/>
        <v>85</v>
      </c>
      <c r="E10" s="800"/>
      <c r="F10" s="800"/>
      <c r="G10" s="840">
        <f>0+10</f>
        <v>10</v>
      </c>
      <c r="H10" s="800"/>
      <c r="I10" s="800">
        <v>75</v>
      </c>
      <c r="J10" s="800"/>
      <c r="K10" s="635"/>
      <c r="L10" s="635"/>
      <c r="M10" s="635"/>
      <c r="N10" s="800"/>
      <c r="O10" s="800"/>
      <c r="P10" s="800"/>
      <c r="Q10" s="800"/>
      <c r="R10" s="800"/>
    </row>
    <row r="11" spans="1:18" x14ac:dyDescent="0.2">
      <c r="A11" s="628">
        <v>4</v>
      </c>
      <c r="B11" s="636" t="s">
        <v>60</v>
      </c>
      <c r="C11" s="634" t="s">
        <v>303</v>
      </c>
      <c r="D11" s="631">
        <f t="shared" si="0"/>
        <v>20</v>
      </c>
      <c r="E11" s="800"/>
      <c r="F11" s="800"/>
      <c r="G11" s="840"/>
      <c r="H11" s="800"/>
      <c r="I11" s="800">
        <v>20</v>
      </c>
      <c r="J11" s="800"/>
      <c r="K11" s="635"/>
      <c r="L11" s="635"/>
      <c r="M11" s="635"/>
      <c r="N11" s="800"/>
      <c r="O11" s="800"/>
      <c r="P11" s="800"/>
      <c r="Q11" s="800"/>
      <c r="R11" s="800"/>
    </row>
    <row r="12" spans="1:18" x14ac:dyDescent="0.2">
      <c r="A12" s="628">
        <v>5</v>
      </c>
      <c r="B12" s="637" t="s">
        <v>56</v>
      </c>
      <c r="C12" s="634" t="s">
        <v>713</v>
      </c>
      <c r="D12" s="631">
        <f t="shared" si="0"/>
        <v>35</v>
      </c>
      <c r="E12" s="800"/>
      <c r="F12" s="800"/>
      <c r="G12" s="840"/>
      <c r="H12" s="800"/>
      <c r="I12" s="800">
        <v>35</v>
      </c>
      <c r="J12" s="800"/>
      <c r="K12" s="635"/>
      <c r="L12" s="635"/>
      <c r="M12" s="635"/>
      <c r="N12" s="800"/>
      <c r="O12" s="800"/>
      <c r="P12" s="800"/>
      <c r="Q12" s="800"/>
      <c r="R12" s="800"/>
    </row>
    <row r="13" spans="1:18" x14ac:dyDescent="0.2">
      <c r="A13" s="628">
        <v>6</v>
      </c>
      <c r="B13" s="633" t="s">
        <v>305</v>
      </c>
      <c r="C13" s="630" t="s">
        <v>306</v>
      </c>
      <c r="D13" s="631">
        <f t="shared" si="0"/>
        <v>35</v>
      </c>
      <c r="E13" s="800"/>
      <c r="F13" s="800"/>
      <c r="G13" s="840"/>
      <c r="H13" s="800"/>
      <c r="I13" s="800">
        <v>35</v>
      </c>
      <c r="J13" s="800"/>
      <c r="K13" s="635"/>
      <c r="L13" s="635"/>
      <c r="M13" s="635"/>
      <c r="N13" s="800"/>
      <c r="O13" s="800"/>
      <c r="P13" s="800"/>
      <c r="Q13" s="800"/>
      <c r="R13" s="800"/>
    </row>
    <row r="14" spans="1:18" x14ac:dyDescent="0.2">
      <c r="A14" s="628">
        <v>7</v>
      </c>
      <c r="B14" s="633" t="s">
        <v>48</v>
      </c>
      <c r="C14" s="634" t="s">
        <v>714</v>
      </c>
      <c r="D14" s="631">
        <f t="shared" si="0"/>
        <v>150</v>
      </c>
      <c r="E14" s="800"/>
      <c r="F14" s="800"/>
      <c r="G14" s="840"/>
      <c r="H14" s="800"/>
      <c r="I14" s="800">
        <v>150</v>
      </c>
      <c r="J14" s="800"/>
      <c r="K14" s="635"/>
      <c r="L14" s="635"/>
      <c r="M14" s="635"/>
      <c r="N14" s="800"/>
      <c r="O14" s="800"/>
      <c r="P14" s="800"/>
      <c r="Q14" s="800"/>
      <c r="R14" s="800"/>
    </row>
    <row r="15" spans="1:18" x14ac:dyDescent="0.2">
      <c r="A15" s="628">
        <v>8</v>
      </c>
      <c r="B15" s="629" t="s">
        <v>117</v>
      </c>
      <c r="C15" s="634" t="s">
        <v>715</v>
      </c>
      <c r="D15" s="631">
        <f t="shared" si="0"/>
        <v>15</v>
      </c>
      <c r="E15" s="800"/>
      <c r="F15" s="800"/>
      <c r="G15" s="840"/>
      <c r="H15" s="800"/>
      <c r="I15" s="800">
        <v>15</v>
      </c>
      <c r="J15" s="800"/>
      <c r="K15" s="635"/>
      <c r="L15" s="635"/>
      <c r="M15" s="635"/>
      <c r="N15" s="800"/>
      <c r="O15" s="800"/>
      <c r="P15" s="800"/>
      <c r="Q15" s="800"/>
      <c r="R15" s="800"/>
    </row>
    <row r="16" spans="1:18" ht="13.5" customHeight="1" x14ac:dyDescent="0.2">
      <c r="A16" s="628">
        <v>9</v>
      </c>
      <c r="B16" s="633" t="s">
        <v>149</v>
      </c>
      <c r="C16" s="630" t="s">
        <v>600</v>
      </c>
      <c r="D16" s="631">
        <f t="shared" si="0"/>
        <v>191</v>
      </c>
      <c r="E16" s="800"/>
      <c r="F16" s="800"/>
      <c r="G16" s="800"/>
      <c r="H16" s="800">
        <v>90</v>
      </c>
      <c r="I16" s="800"/>
      <c r="J16" s="800">
        <v>1</v>
      </c>
      <c r="K16" s="635"/>
      <c r="L16" s="635">
        <v>100</v>
      </c>
      <c r="M16" s="635"/>
      <c r="N16" s="800"/>
      <c r="O16" s="800"/>
      <c r="P16" s="800"/>
      <c r="Q16" s="800"/>
      <c r="R16" s="800"/>
    </row>
    <row r="17" spans="1:18" s="626" customFormat="1" ht="13.5" customHeight="1" x14ac:dyDescent="0.2">
      <c r="A17" s="628">
        <v>10</v>
      </c>
      <c r="B17" s="633" t="s">
        <v>185</v>
      </c>
      <c r="C17" s="630" t="s">
        <v>186</v>
      </c>
      <c r="D17" s="631">
        <f t="shared" si="0"/>
        <v>3</v>
      </c>
      <c r="E17" s="800"/>
      <c r="F17" s="800"/>
      <c r="G17" s="800"/>
      <c r="H17" s="800"/>
      <c r="I17" s="800">
        <v>3</v>
      </c>
      <c r="J17" s="800"/>
      <c r="K17" s="635"/>
      <c r="L17" s="635"/>
      <c r="M17" s="635"/>
      <c r="N17" s="800"/>
      <c r="O17" s="800"/>
      <c r="P17" s="800"/>
      <c r="Q17" s="800"/>
      <c r="R17" s="800"/>
    </row>
    <row r="18" spans="1:18" s="626" customFormat="1" ht="12" customHeight="1" x14ac:dyDescent="0.2">
      <c r="A18" s="628">
        <v>11</v>
      </c>
      <c r="B18" s="629" t="s">
        <v>272</v>
      </c>
      <c r="C18" s="630" t="s">
        <v>273</v>
      </c>
      <c r="D18" s="631">
        <f t="shared" si="0"/>
        <v>133676</v>
      </c>
      <c r="E18" s="800">
        <v>750</v>
      </c>
      <c r="F18" s="800"/>
      <c r="G18" s="800"/>
      <c r="H18" s="800"/>
      <c r="I18" s="800"/>
      <c r="J18" s="800"/>
      <c r="K18" s="635"/>
      <c r="L18" s="635"/>
      <c r="M18" s="635"/>
      <c r="N18" s="800"/>
      <c r="O18" s="800">
        <f>93448+11076</f>
        <v>104524</v>
      </c>
      <c r="P18" s="800">
        <v>23362</v>
      </c>
      <c r="Q18" s="800">
        <v>4665</v>
      </c>
      <c r="R18" s="800">
        <v>375</v>
      </c>
    </row>
    <row r="19" spans="1:18" s="626" customFormat="1" x14ac:dyDescent="0.2">
      <c r="A19" s="628">
        <v>12</v>
      </c>
      <c r="B19" s="633" t="s">
        <v>258</v>
      </c>
      <c r="C19" s="634" t="s">
        <v>716</v>
      </c>
      <c r="D19" s="631">
        <f t="shared" si="0"/>
        <v>34673</v>
      </c>
      <c r="E19" s="800"/>
      <c r="F19" s="800"/>
      <c r="G19" s="800"/>
      <c r="H19" s="800"/>
      <c r="I19" s="800"/>
      <c r="J19" s="800"/>
      <c r="K19" s="635"/>
      <c r="L19" s="635"/>
      <c r="M19" s="635"/>
      <c r="N19" s="800"/>
      <c r="O19" s="800">
        <f>25663+2340</f>
        <v>28003</v>
      </c>
      <c r="P19" s="800">
        <v>6670</v>
      </c>
      <c r="Q19" s="800"/>
      <c r="R19" s="800"/>
    </row>
    <row r="20" spans="1:18" s="626" customFormat="1" x14ac:dyDescent="0.2">
      <c r="A20" s="628">
        <v>13</v>
      </c>
      <c r="B20" s="629" t="s">
        <v>290</v>
      </c>
      <c r="C20" s="634" t="s">
        <v>291</v>
      </c>
      <c r="D20" s="631">
        <f t="shared" si="0"/>
        <v>36914</v>
      </c>
      <c r="E20" s="800">
        <v>100</v>
      </c>
      <c r="F20" s="800">
        <v>100</v>
      </c>
      <c r="G20" s="800"/>
      <c r="H20" s="800"/>
      <c r="I20" s="800"/>
      <c r="J20" s="800"/>
      <c r="K20" s="635"/>
      <c r="L20" s="635"/>
      <c r="M20" s="635"/>
      <c r="N20" s="800">
        <v>7696</v>
      </c>
      <c r="O20" s="800">
        <f>24961-1404</f>
        <v>23557</v>
      </c>
      <c r="P20" s="800">
        <v>5461</v>
      </c>
      <c r="Q20" s="800"/>
      <c r="R20" s="800"/>
    </row>
    <row r="21" spans="1:18" s="626" customFormat="1" x14ac:dyDescent="0.2">
      <c r="A21" s="638"/>
      <c r="B21" s="638"/>
      <c r="C21" s="639" t="s">
        <v>536</v>
      </c>
      <c r="D21" s="631">
        <f t="shared" ref="D21:R21" si="1">SUM(D8:D20)</f>
        <v>211529</v>
      </c>
      <c r="E21" s="631">
        <f t="shared" si="1"/>
        <v>850</v>
      </c>
      <c r="F21" s="631">
        <f t="shared" si="1"/>
        <v>100</v>
      </c>
      <c r="G21" s="631">
        <f t="shared" si="1"/>
        <v>10</v>
      </c>
      <c r="H21" s="631">
        <f t="shared" si="1"/>
        <v>405</v>
      </c>
      <c r="I21" s="631">
        <f t="shared" si="1"/>
        <v>383</v>
      </c>
      <c r="J21" s="631">
        <f t="shared" si="1"/>
        <v>25</v>
      </c>
      <c r="K21" s="631">
        <f t="shared" si="1"/>
        <v>520</v>
      </c>
      <c r="L21" s="631">
        <f t="shared" si="1"/>
        <v>1425</v>
      </c>
      <c r="M21" s="631">
        <f t="shared" si="1"/>
        <v>90</v>
      </c>
      <c r="N21" s="631">
        <f t="shared" si="1"/>
        <v>7696</v>
      </c>
      <c r="O21" s="631">
        <f t="shared" si="1"/>
        <v>156674</v>
      </c>
      <c r="P21" s="631">
        <f t="shared" si="1"/>
        <v>35683</v>
      </c>
      <c r="Q21" s="631">
        <f t="shared" si="1"/>
        <v>4971</v>
      </c>
      <c r="R21" s="631">
        <f t="shared" si="1"/>
        <v>2697</v>
      </c>
    </row>
    <row r="22" spans="1:18" s="626" customFormat="1" ht="22.5" x14ac:dyDescent="0.2">
      <c r="A22" s="627"/>
      <c r="B22" s="627"/>
      <c r="C22" s="630" t="s">
        <v>717</v>
      </c>
      <c r="D22" s="631">
        <f t="shared" si="0"/>
        <v>3115</v>
      </c>
      <c r="E22" s="631"/>
      <c r="F22" s="631"/>
      <c r="G22" s="631"/>
      <c r="H22" s="631"/>
      <c r="I22" s="631"/>
      <c r="J22" s="631"/>
      <c r="K22" s="631"/>
      <c r="L22" s="631"/>
      <c r="M22" s="631"/>
      <c r="N22" s="631"/>
      <c r="O22" s="631">
        <v>3115</v>
      </c>
      <c r="P22" s="631">
        <v>0</v>
      </c>
      <c r="Q22" s="631"/>
      <c r="R22" s="631"/>
    </row>
    <row r="23" spans="1:18" s="626" customFormat="1" ht="21" x14ac:dyDescent="0.2">
      <c r="A23" s="627"/>
      <c r="B23" s="627"/>
      <c r="C23" s="842" t="s">
        <v>718</v>
      </c>
      <c r="D23" s="631">
        <f>D21+D22</f>
        <v>214644</v>
      </c>
      <c r="E23" s="631">
        <f t="shared" ref="E23:R23" si="2">E21+E22</f>
        <v>850</v>
      </c>
      <c r="F23" s="631">
        <f t="shared" si="2"/>
        <v>100</v>
      </c>
      <c r="G23" s="631">
        <f t="shared" si="2"/>
        <v>10</v>
      </c>
      <c r="H23" s="631">
        <f t="shared" si="2"/>
        <v>405</v>
      </c>
      <c r="I23" s="631">
        <f t="shared" si="2"/>
        <v>383</v>
      </c>
      <c r="J23" s="631">
        <f t="shared" si="2"/>
        <v>25</v>
      </c>
      <c r="K23" s="631">
        <f t="shared" si="2"/>
        <v>520</v>
      </c>
      <c r="L23" s="631">
        <f t="shared" si="2"/>
        <v>1425</v>
      </c>
      <c r="M23" s="631">
        <f t="shared" si="2"/>
        <v>90</v>
      </c>
      <c r="N23" s="631">
        <f t="shared" si="2"/>
        <v>7696</v>
      </c>
      <c r="O23" s="631">
        <f t="shared" si="2"/>
        <v>159789</v>
      </c>
      <c r="P23" s="631">
        <f t="shared" si="2"/>
        <v>35683</v>
      </c>
      <c r="Q23" s="631">
        <f t="shared" si="2"/>
        <v>4971</v>
      </c>
      <c r="R23" s="631">
        <f t="shared" si="2"/>
        <v>2697</v>
      </c>
    </row>
  </sheetData>
  <mergeCells count="25">
    <mergeCell ref="A1:R1"/>
    <mergeCell ref="A3:A7"/>
    <mergeCell ref="B3:B7"/>
    <mergeCell ref="C3:C7"/>
    <mergeCell ref="D3:D7"/>
    <mergeCell ref="E3:J3"/>
    <mergeCell ref="K3:R3"/>
    <mergeCell ref="E4:F5"/>
    <mergeCell ref="G4:J5"/>
    <mergeCell ref="K4:M4"/>
    <mergeCell ref="N4:R5"/>
    <mergeCell ref="L5:M5"/>
    <mergeCell ref="E6:E7"/>
    <mergeCell ref="F6:F7"/>
    <mergeCell ref="G6:G7"/>
    <mergeCell ref="H6:H7"/>
    <mergeCell ref="O6:O7"/>
    <mergeCell ref="P6:P7"/>
    <mergeCell ref="Q6:Q7"/>
    <mergeCell ref="R6:R7"/>
    <mergeCell ref="I6:J6"/>
    <mergeCell ref="K6:K7"/>
    <mergeCell ref="L6:L7"/>
    <mergeCell ref="M6:M7"/>
    <mergeCell ref="N6:N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51"/>
  <sheetViews>
    <sheetView zoomScale="90" zoomScaleNormal="90" workbookViewId="0">
      <pane xSplit="3" ySplit="10" topLeftCell="D131" activePane="bottomRight" state="frozen"/>
      <selection pane="topRight" activeCell="D1" sqref="D1"/>
      <selection pane="bottomLeft" activeCell="A12" sqref="A12"/>
      <selection pane="bottomRight" activeCell="K156" sqref="K156"/>
    </sheetView>
  </sheetViews>
  <sheetFormatPr defaultRowHeight="12" x14ac:dyDescent="0.2"/>
  <cols>
    <col min="1" max="1" width="5.85546875" style="868" customWidth="1"/>
    <col min="2" max="2" width="9.140625" style="868"/>
    <col min="3" max="3" width="32.5703125" style="868" customWidth="1"/>
    <col min="4" max="4" width="11.42578125" style="868" customWidth="1"/>
    <col min="5" max="5" width="10" style="868" customWidth="1"/>
    <col min="6" max="6" width="13.5703125" style="868" customWidth="1"/>
    <col min="7" max="7" width="10.85546875" style="868" customWidth="1"/>
    <col min="8" max="8" width="11" style="868" customWidth="1"/>
    <col min="9" max="10" width="10.5703125" style="868" customWidth="1"/>
    <col min="11" max="11" width="9.42578125" style="868" customWidth="1"/>
    <col min="12" max="12" width="11.28515625" style="868" customWidth="1"/>
    <col min="13" max="13" width="10.7109375" style="868" customWidth="1"/>
    <col min="14" max="14" width="18.140625" style="868" customWidth="1"/>
    <col min="15" max="15" width="10.7109375" style="868" customWidth="1"/>
    <col min="16" max="16" width="13.42578125" style="868" customWidth="1"/>
    <col min="17" max="17" width="14" style="868" customWidth="1"/>
    <col min="18" max="18" width="12.140625" style="868" customWidth="1"/>
    <col min="19" max="19" width="9.140625" style="868"/>
    <col min="20" max="20" width="11.85546875" style="868" customWidth="1"/>
    <col min="21" max="16384" width="9.140625" style="868"/>
  </cols>
  <sheetData>
    <row r="1" spans="1:21" ht="15.75" customHeight="1" x14ac:dyDescent="0.2">
      <c r="A1" s="987" t="s">
        <v>472</v>
      </c>
      <c r="B1" s="987"/>
      <c r="C1" s="987"/>
      <c r="D1" s="987"/>
      <c r="E1" s="987"/>
      <c r="F1" s="987"/>
      <c r="G1" s="987"/>
      <c r="H1" s="987"/>
      <c r="I1" s="987"/>
      <c r="J1" s="987"/>
      <c r="K1" s="987"/>
      <c r="L1" s="987"/>
      <c r="M1" s="987"/>
      <c r="N1" s="987"/>
      <c r="O1" s="987"/>
      <c r="P1" s="987"/>
      <c r="Q1" s="987"/>
      <c r="R1" s="987"/>
    </row>
    <row r="2" spans="1:21" ht="12" customHeight="1" x14ac:dyDescent="0.2">
      <c r="A2" s="988" t="s">
        <v>0</v>
      </c>
      <c r="B2" s="989" t="s">
        <v>356</v>
      </c>
      <c r="C2" s="988" t="s">
        <v>2</v>
      </c>
      <c r="D2" s="988" t="s">
        <v>325</v>
      </c>
      <c r="E2" s="988"/>
      <c r="F2" s="988"/>
      <c r="G2" s="988"/>
      <c r="H2" s="988"/>
      <c r="I2" s="988"/>
      <c r="J2" s="988"/>
      <c r="K2" s="988"/>
      <c r="L2" s="988"/>
      <c r="M2" s="988"/>
      <c r="N2" s="988"/>
      <c r="O2" s="988"/>
      <c r="P2" s="988"/>
      <c r="Q2" s="988"/>
      <c r="R2" s="988"/>
    </row>
    <row r="3" spans="1:21" ht="12" customHeight="1" x14ac:dyDescent="0.2">
      <c r="A3" s="988"/>
      <c r="B3" s="990"/>
      <c r="C3" s="988"/>
      <c r="D3" s="992" t="s">
        <v>435</v>
      </c>
      <c r="E3" s="988" t="s">
        <v>473</v>
      </c>
      <c r="F3" s="988"/>
      <c r="G3" s="988"/>
      <c r="H3" s="988"/>
      <c r="I3" s="988"/>
      <c r="J3" s="988"/>
      <c r="K3" s="988"/>
      <c r="L3" s="988"/>
      <c r="M3" s="988"/>
      <c r="N3" s="988"/>
      <c r="O3" s="988"/>
      <c r="P3" s="988"/>
      <c r="Q3" s="988"/>
      <c r="R3" s="988"/>
    </row>
    <row r="4" spans="1:21" ht="29.25" customHeight="1" x14ac:dyDescent="0.2">
      <c r="A4" s="988"/>
      <c r="B4" s="990"/>
      <c r="C4" s="988"/>
      <c r="D4" s="992"/>
      <c r="E4" s="994" t="s">
        <v>474</v>
      </c>
      <c r="F4" s="995"/>
      <c r="G4" s="995"/>
      <c r="H4" s="996" t="s">
        <v>475</v>
      </c>
      <c r="I4" s="997"/>
      <c r="J4" s="997"/>
      <c r="K4" s="997"/>
      <c r="L4" s="998"/>
      <c r="M4" s="988" t="s">
        <v>476</v>
      </c>
      <c r="N4" s="988"/>
      <c r="O4" s="988"/>
      <c r="P4" s="988"/>
      <c r="Q4" s="988"/>
      <c r="R4" s="988"/>
    </row>
    <row r="5" spans="1:21" ht="12" customHeight="1" x14ac:dyDescent="0.2">
      <c r="A5" s="988"/>
      <c r="B5" s="990"/>
      <c r="C5" s="988"/>
      <c r="D5" s="992"/>
      <c r="E5" s="988" t="s">
        <v>331</v>
      </c>
      <c r="F5" s="996" t="s">
        <v>412</v>
      </c>
      <c r="G5" s="998"/>
      <c r="H5" s="988" t="s">
        <v>779</v>
      </c>
      <c r="I5" s="996" t="s">
        <v>477</v>
      </c>
      <c r="J5" s="997"/>
      <c r="K5" s="998"/>
      <c r="L5" s="1014" t="s">
        <v>778</v>
      </c>
      <c r="M5" s="993" t="s">
        <v>331</v>
      </c>
      <c r="N5" s="1000"/>
      <c r="O5" s="1000"/>
      <c r="P5" s="1000"/>
      <c r="Q5" s="1000"/>
      <c r="R5" s="1000"/>
    </row>
    <row r="6" spans="1:21" ht="120" x14ac:dyDescent="0.2">
      <c r="A6" s="988"/>
      <c r="B6" s="991"/>
      <c r="C6" s="988"/>
      <c r="D6" s="993"/>
      <c r="E6" s="988"/>
      <c r="F6" s="869" t="s">
        <v>478</v>
      </c>
      <c r="G6" s="870" t="s">
        <v>479</v>
      </c>
      <c r="H6" s="988"/>
      <c r="I6" s="870" t="s">
        <v>480</v>
      </c>
      <c r="J6" s="870" t="s">
        <v>739</v>
      </c>
      <c r="K6" s="870" t="s">
        <v>481</v>
      </c>
      <c r="L6" s="993"/>
      <c r="M6" s="988"/>
      <c r="N6" s="871" t="s">
        <v>776</v>
      </c>
      <c r="O6" s="871" t="s">
        <v>482</v>
      </c>
      <c r="P6" s="871" t="s">
        <v>483</v>
      </c>
      <c r="Q6" s="871" t="s">
        <v>484</v>
      </c>
      <c r="R6" s="872" t="s">
        <v>485</v>
      </c>
    </row>
    <row r="7" spans="1:21" s="876" customFormat="1" ht="11.25" x14ac:dyDescent="0.2">
      <c r="A7" s="873">
        <v>1</v>
      </c>
      <c r="B7" s="873">
        <v>2</v>
      </c>
      <c r="C7" s="873">
        <v>3</v>
      </c>
      <c r="D7" s="874">
        <v>4</v>
      </c>
      <c r="E7" s="874">
        <v>5</v>
      </c>
      <c r="F7" s="874">
        <v>6</v>
      </c>
      <c r="G7" s="874">
        <v>7</v>
      </c>
      <c r="H7" s="874">
        <v>8</v>
      </c>
      <c r="I7" s="874">
        <v>9</v>
      </c>
      <c r="J7" s="874">
        <v>10</v>
      </c>
      <c r="K7" s="874">
        <v>11</v>
      </c>
      <c r="L7" s="874">
        <v>12</v>
      </c>
      <c r="M7" s="873">
        <v>13</v>
      </c>
      <c r="N7" s="875">
        <v>14</v>
      </c>
      <c r="O7" s="875">
        <v>15</v>
      </c>
      <c r="P7" s="875">
        <v>16</v>
      </c>
      <c r="Q7" s="875">
        <v>17</v>
      </c>
      <c r="R7" s="875">
        <v>18</v>
      </c>
    </row>
    <row r="8" spans="1:21" s="876" customFormat="1" x14ac:dyDescent="0.2">
      <c r="A8" s="1001" t="s">
        <v>331</v>
      </c>
      <c r="B8" s="1001"/>
      <c r="C8" s="1001"/>
      <c r="D8" s="877">
        <f>E8+H8+M8</f>
        <v>11018952</v>
      </c>
      <c r="E8" s="877">
        <f t="shared" ref="E8:E9" si="0">F8+G8</f>
        <v>1211123</v>
      </c>
      <c r="F8" s="877">
        <f>F9+F10</f>
        <v>376560</v>
      </c>
      <c r="G8" s="877">
        <f>G9+G10</f>
        <v>834563</v>
      </c>
      <c r="H8" s="877">
        <f>I8+K8</f>
        <v>1511282</v>
      </c>
      <c r="I8" s="877">
        <f>I9+I10</f>
        <v>1501527</v>
      </c>
      <c r="J8" s="877">
        <f>J9+J10</f>
        <v>197405</v>
      </c>
      <c r="K8" s="877">
        <f>K9+K10</f>
        <v>9755</v>
      </c>
      <c r="L8" s="877">
        <f>L9+L10</f>
        <v>291867</v>
      </c>
      <c r="M8" s="878">
        <f t="shared" ref="M8:M39" si="1">SUM(N8:R8)</f>
        <v>8296547</v>
      </c>
      <c r="N8" s="879">
        <f t="shared" ref="N8:O8" si="2">N9+N10</f>
        <v>973937</v>
      </c>
      <c r="O8" s="879">
        <f t="shared" si="2"/>
        <v>4297989</v>
      </c>
      <c r="P8" s="879">
        <f>P9+P10</f>
        <v>684016</v>
      </c>
      <c r="Q8" s="879">
        <f>Q9+Q10</f>
        <v>2295884</v>
      </c>
      <c r="R8" s="879">
        <f>R9+R10</f>
        <v>44721</v>
      </c>
      <c r="U8" s="880"/>
    </row>
    <row r="9" spans="1:21" s="876" customFormat="1" ht="12" customHeight="1" x14ac:dyDescent="0.2">
      <c r="A9" s="1002" t="s">
        <v>105</v>
      </c>
      <c r="B9" s="1003"/>
      <c r="C9" s="1004"/>
      <c r="D9" s="881">
        <f>E9+M9</f>
        <v>143560</v>
      </c>
      <c r="E9" s="881">
        <f t="shared" si="0"/>
        <v>0</v>
      </c>
      <c r="F9" s="881"/>
      <c r="G9" s="881"/>
      <c r="H9" s="881">
        <v>0</v>
      </c>
      <c r="I9" s="881"/>
      <c r="J9" s="881"/>
      <c r="K9" s="881"/>
      <c r="L9" s="881"/>
      <c r="M9" s="882">
        <f t="shared" si="1"/>
        <v>143560</v>
      </c>
      <c r="N9" s="883">
        <v>0</v>
      </c>
      <c r="O9" s="883">
        <v>143560</v>
      </c>
      <c r="P9" s="883"/>
      <c r="Q9" s="883"/>
      <c r="R9" s="883"/>
      <c r="U9" s="880"/>
    </row>
    <row r="10" spans="1:21" s="876" customFormat="1" ht="12" customHeight="1" x14ac:dyDescent="0.2">
      <c r="A10" s="1005" t="s">
        <v>108</v>
      </c>
      <c r="B10" s="1006"/>
      <c r="C10" s="1007"/>
      <c r="D10" s="877">
        <f t="shared" ref="D10:D73" si="3">E10+H10+M10</f>
        <v>10875392</v>
      </c>
      <c r="E10" s="877">
        <f>F10+G10</f>
        <v>1211123</v>
      </c>
      <c r="F10" s="877">
        <f>SUM(F11:F147)-F89</f>
        <v>376560</v>
      </c>
      <c r="G10" s="877">
        <f>SUM(G11:G147)-G89</f>
        <v>834563</v>
      </c>
      <c r="H10" s="877">
        <f t="shared" ref="H10:H73" si="4">I10+K10</f>
        <v>1511282</v>
      </c>
      <c r="I10" s="877">
        <f>SUM(I11:I147)-I89</f>
        <v>1501527</v>
      </c>
      <c r="J10" s="877">
        <f>SUM(J11:J147)-J89</f>
        <v>197405</v>
      </c>
      <c r="K10" s="877">
        <f>SUM(K11:K147)-K89</f>
        <v>9755</v>
      </c>
      <c r="L10" s="877">
        <f>SUM(L11:L147)-L89</f>
        <v>291867</v>
      </c>
      <c r="M10" s="878">
        <f t="shared" si="1"/>
        <v>8152987</v>
      </c>
      <c r="N10" s="879">
        <f t="shared" ref="N10:R10" si="5">SUM(N11:N147)-N89</f>
        <v>973937</v>
      </c>
      <c r="O10" s="879">
        <f t="shared" si="5"/>
        <v>4154429</v>
      </c>
      <c r="P10" s="879">
        <f t="shared" si="5"/>
        <v>684016</v>
      </c>
      <c r="Q10" s="879">
        <f t="shared" si="5"/>
        <v>2295884</v>
      </c>
      <c r="R10" s="879">
        <f t="shared" si="5"/>
        <v>44721</v>
      </c>
      <c r="U10" s="880"/>
    </row>
    <row r="11" spans="1:21" x14ac:dyDescent="0.2">
      <c r="A11" s="309">
        <v>1</v>
      </c>
      <c r="B11" s="222" t="s">
        <v>109</v>
      </c>
      <c r="C11" s="220" t="s">
        <v>110</v>
      </c>
      <c r="D11" s="881">
        <f t="shared" si="3"/>
        <v>43443</v>
      </c>
      <c r="E11" s="881">
        <f>F11+G11</f>
        <v>5409</v>
      </c>
      <c r="F11" s="881">
        <v>1722</v>
      </c>
      <c r="G11" s="881">
        <v>3687</v>
      </c>
      <c r="H11" s="881">
        <f t="shared" si="4"/>
        <v>6920</v>
      </c>
      <c r="I11" s="881">
        <v>6868</v>
      </c>
      <c r="J11" s="881">
        <v>904</v>
      </c>
      <c r="K11" s="881">
        <v>52</v>
      </c>
      <c r="L11" s="881">
        <v>1215</v>
      </c>
      <c r="M11" s="881">
        <f t="shared" si="1"/>
        <v>31114</v>
      </c>
      <c r="N11" s="883">
        <v>10405</v>
      </c>
      <c r="O11" s="883">
        <v>14620</v>
      </c>
      <c r="P11" s="883">
        <v>320</v>
      </c>
      <c r="Q11" s="883">
        <v>5763</v>
      </c>
      <c r="R11" s="883">
        <v>6</v>
      </c>
      <c r="U11" s="880"/>
    </row>
    <row r="12" spans="1:21" x14ac:dyDescent="0.2">
      <c r="A12" s="309">
        <v>2</v>
      </c>
      <c r="B12" s="224" t="s">
        <v>111</v>
      </c>
      <c r="C12" s="220" t="s">
        <v>112</v>
      </c>
      <c r="D12" s="881">
        <f t="shared" si="3"/>
        <v>45100</v>
      </c>
      <c r="E12" s="881">
        <f t="shared" ref="E12:E81" si="6">F12+G12</f>
        <v>5025</v>
      </c>
      <c r="F12" s="881">
        <v>1789</v>
      </c>
      <c r="G12" s="881">
        <v>3236</v>
      </c>
      <c r="H12" s="881">
        <f t="shared" si="4"/>
        <v>7243</v>
      </c>
      <c r="I12" s="881">
        <v>7133</v>
      </c>
      <c r="J12" s="881">
        <v>938</v>
      </c>
      <c r="K12" s="881">
        <v>110</v>
      </c>
      <c r="L12" s="881">
        <v>1169</v>
      </c>
      <c r="M12" s="881">
        <f t="shared" si="1"/>
        <v>32832</v>
      </c>
      <c r="N12" s="883">
        <v>5574</v>
      </c>
      <c r="O12" s="883">
        <v>17138</v>
      </c>
      <c r="P12" s="883">
        <v>5500</v>
      </c>
      <c r="Q12" s="883">
        <v>4000</v>
      </c>
      <c r="R12" s="883">
        <v>620</v>
      </c>
      <c r="U12" s="880"/>
    </row>
    <row r="13" spans="1:21" x14ac:dyDescent="0.2">
      <c r="A13" s="309">
        <v>3</v>
      </c>
      <c r="B13" s="219" t="s">
        <v>80</v>
      </c>
      <c r="C13" s="220" t="s">
        <v>81</v>
      </c>
      <c r="D13" s="881">
        <f t="shared" si="3"/>
        <v>147882</v>
      </c>
      <c r="E13" s="881">
        <f t="shared" si="6"/>
        <v>17504</v>
      </c>
      <c r="F13" s="881">
        <v>5250</v>
      </c>
      <c r="G13" s="881">
        <v>12254</v>
      </c>
      <c r="H13" s="881">
        <f t="shared" si="4"/>
        <v>21407</v>
      </c>
      <c r="I13" s="881">
        <v>20935</v>
      </c>
      <c r="J13" s="881">
        <v>2752</v>
      </c>
      <c r="K13" s="881">
        <v>472</v>
      </c>
      <c r="L13" s="881">
        <v>4017</v>
      </c>
      <c r="M13" s="881">
        <f t="shared" si="1"/>
        <v>108971</v>
      </c>
      <c r="N13" s="883">
        <v>15719</v>
      </c>
      <c r="O13" s="883">
        <v>38824</v>
      </c>
      <c r="P13" s="883">
        <v>25930</v>
      </c>
      <c r="Q13" s="883">
        <v>27426</v>
      </c>
      <c r="R13" s="883">
        <v>1072</v>
      </c>
      <c r="U13" s="880"/>
    </row>
    <row r="14" spans="1:21" x14ac:dyDescent="0.2">
      <c r="A14" s="309">
        <v>4</v>
      </c>
      <c r="B14" s="222" t="s">
        <v>113</v>
      </c>
      <c r="C14" s="220" t="s">
        <v>114</v>
      </c>
      <c r="D14" s="881">
        <f t="shared" si="3"/>
        <v>46203</v>
      </c>
      <c r="E14" s="881">
        <f t="shared" si="6"/>
        <v>4864</v>
      </c>
      <c r="F14" s="881">
        <v>1994</v>
      </c>
      <c r="G14" s="881">
        <v>2870</v>
      </c>
      <c r="H14" s="881">
        <f t="shared" si="4"/>
        <v>8011</v>
      </c>
      <c r="I14" s="881">
        <v>7949</v>
      </c>
      <c r="J14" s="881">
        <v>1045</v>
      </c>
      <c r="K14" s="881">
        <v>62</v>
      </c>
      <c r="L14" s="881">
        <v>1249</v>
      </c>
      <c r="M14" s="881">
        <f t="shared" si="1"/>
        <v>33328</v>
      </c>
      <c r="N14" s="883">
        <v>4604</v>
      </c>
      <c r="O14" s="883">
        <v>14024</v>
      </c>
      <c r="P14" s="883">
        <v>6000</v>
      </c>
      <c r="Q14" s="883">
        <v>8700</v>
      </c>
      <c r="R14" s="883">
        <v>0</v>
      </c>
      <c r="U14" s="880"/>
    </row>
    <row r="15" spans="1:21" x14ac:dyDescent="0.2">
      <c r="A15" s="309">
        <v>5</v>
      </c>
      <c r="B15" s="222" t="s">
        <v>115</v>
      </c>
      <c r="C15" s="220" t="s">
        <v>116</v>
      </c>
      <c r="D15" s="881">
        <f t="shared" si="3"/>
        <v>52727</v>
      </c>
      <c r="E15" s="881">
        <f t="shared" si="6"/>
        <v>6325</v>
      </c>
      <c r="F15" s="881">
        <v>2097</v>
      </c>
      <c r="G15" s="881">
        <v>4228</v>
      </c>
      <c r="H15" s="881">
        <f t="shared" si="4"/>
        <v>8430</v>
      </c>
      <c r="I15" s="881">
        <v>8361</v>
      </c>
      <c r="J15" s="881">
        <v>1099</v>
      </c>
      <c r="K15" s="881">
        <v>69</v>
      </c>
      <c r="L15" s="881">
        <v>1489</v>
      </c>
      <c r="M15" s="881">
        <f t="shared" si="1"/>
        <v>37972</v>
      </c>
      <c r="N15" s="883">
        <v>7845</v>
      </c>
      <c r="O15" s="883">
        <v>13001</v>
      </c>
      <c r="P15" s="883">
        <v>10000</v>
      </c>
      <c r="Q15" s="883">
        <v>7120</v>
      </c>
      <c r="R15" s="883">
        <v>6</v>
      </c>
      <c r="U15" s="880"/>
    </row>
    <row r="16" spans="1:21" x14ac:dyDescent="0.2">
      <c r="A16" s="309">
        <v>6</v>
      </c>
      <c r="B16" s="219" t="s">
        <v>117</v>
      </c>
      <c r="C16" s="220" t="s">
        <v>118</v>
      </c>
      <c r="D16" s="881">
        <f t="shared" si="3"/>
        <v>403347</v>
      </c>
      <c r="E16" s="881">
        <f t="shared" si="6"/>
        <v>50968</v>
      </c>
      <c r="F16" s="881">
        <v>14578</v>
      </c>
      <c r="G16" s="881">
        <v>36390</v>
      </c>
      <c r="H16" s="881">
        <f t="shared" si="4"/>
        <v>58310</v>
      </c>
      <c r="I16" s="881">
        <v>58130</v>
      </c>
      <c r="J16" s="881">
        <v>7642</v>
      </c>
      <c r="K16" s="881">
        <v>180</v>
      </c>
      <c r="L16" s="881">
        <v>11372</v>
      </c>
      <c r="M16" s="881">
        <f t="shared" si="1"/>
        <v>294069</v>
      </c>
      <c r="N16" s="883">
        <v>29211</v>
      </c>
      <c r="O16" s="883">
        <v>143023</v>
      </c>
      <c r="P16" s="883">
        <v>4500</v>
      </c>
      <c r="Q16" s="883">
        <v>114489</v>
      </c>
      <c r="R16" s="883">
        <v>2846</v>
      </c>
      <c r="U16" s="880"/>
    </row>
    <row r="17" spans="1:21" x14ac:dyDescent="0.2">
      <c r="A17" s="309">
        <v>7</v>
      </c>
      <c r="B17" s="222" t="s">
        <v>20</v>
      </c>
      <c r="C17" s="220" t="s">
        <v>21</v>
      </c>
      <c r="D17" s="881">
        <f t="shared" si="3"/>
        <v>145717</v>
      </c>
      <c r="E17" s="881">
        <f t="shared" si="6"/>
        <v>16717</v>
      </c>
      <c r="F17" s="881">
        <v>5385</v>
      </c>
      <c r="G17" s="881">
        <v>11332</v>
      </c>
      <c r="H17" s="881">
        <f t="shared" si="4"/>
        <v>21595</v>
      </c>
      <c r="I17" s="881">
        <v>21474</v>
      </c>
      <c r="J17" s="881">
        <v>2823</v>
      </c>
      <c r="K17" s="881">
        <v>121</v>
      </c>
      <c r="L17" s="881">
        <v>3756</v>
      </c>
      <c r="M17" s="881">
        <f t="shared" si="1"/>
        <v>107405</v>
      </c>
      <c r="N17" s="883">
        <v>15284</v>
      </c>
      <c r="O17" s="883">
        <v>40796</v>
      </c>
      <c r="P17" s="883">
        <v>15600</v>
      </c>
      <c r="Q17" s="883">
        <v>34713</v>
      </c>
      <c r="R17" s="883">
        <v>1012</v>
      </c>
      <c r="U17" s="880"/>
    </row>
    <row r="18" spans="1:21" x14ac:dyDescent="0.2">
      <c r="A18" s="309">
        <v>8</v>
      </c>
      <c r="B18" s="219" t="s">
        <v>119</v>
      </c>
      <c r="C18" s="220" t="s">
        <v>120</v>
      </c>
      <c r="D18" s="881">
        <f t="shared" si="3"/>
        <v>55971</v>
      </c>
      <c r="E18" s="881">
        <f t="shared" si="6"/>
        <v>6615</v>
      </c>
      <c r="F18" s="881">
        <v>2227</v>
      </c>
      <c r="G18" s="881">
        <v>4388</v>
      </c>
      <c r="H18" s="881">
        <f t="shared" si="4"/>
        <v>9039</v>
      </c>
      <c r="I18" s="881">
        <v>8880</v>
      </c>
      <c r="J18" s="881">
        <v>1167</v>
      </c>
      <c r="K18" s="881">
        <v>159</v>
      </c>
      <c r="L18" s="881">
        <v>1596</v>
      </c>
      <c r="M18" s="881">
        <f t="shared" si="1"/>
        <v>40317</v>
      </c>
      <c r="N18" s="883">
        <v>3160</v>
      </c>
      <c r="O18" s="883">
        <v>18992</v>
      </c>
      <c r="P18" s="883">
        <v>6522</v>
      </c>
      <c r="Q18" s="883">
        <v>11639</v>
      </c>
      <c r="R18" s="883">
        <v>4</v>
      </c>
      <c r="U18" s="880"/>
    </row>
    <row r="19" spans="1:21" x14ac:dyDescent="0.2">
      <c r="A19" s="309">
        <v>9</v>
      </c>
      <c r="B19" s="219" t="s">
        <v>121</v>
      </c>
      <c r="C19" s="220" t="s">
        <v>122</v>
      </c>
      <c r="D19" s="881">
        <f t="shared" si="3"/>
        <v>50222</v>
      </c>
      <c r="E19" s="881">
        <f t="shared" si="6"/>
        <v>5784</v>
      </c>
      <c r="F19" s="881">
        <v>1991</v>
      </c>
      <c r="G19" s="881">
        <v>3793</v>
      </c>
      <c r="H19" s="881">
        <f t="shared" si="4"/>
        <v>7981</v>
      </c>
      <c r="I19" s="881">
        <v>7940</v>
      </c>
      <c r="J19" s="881">
        <v>1044</v>
      </c>
      <c r="K19" s="881">
        <v>41</v>
      </c>
      <c r="L19" s="881">
        <v>1369</v>
      </c>
      <c r="M19" s="881">
        <f t="shared" si="1"/>
        <v>36457</v>
      </c>
      <c r="N19" s="883">
        <v>7637</v>
      </c>
      <c r="O19" s="883">
        <v>17148</v>
      </c>
      <c r="P19" s="883">
        <v>1000</v>
      </c>
      <c r="Q19" s="883">
        <v>10663</v>
      </c>
      <c r="R19" s="883">
        <v>9</v>
      </c>
      <c r="U19" s="880"/>
    </row>
    <row r="20" spans="1:21" x14ac:dyDescent="0.2">
      <c r="A20" s="309">
        <v>10</v>
      </c>
      <c r="B20" s="219" t="s">
        <v>123</v>
      </c>
      <c r="C20" s="220" t="s">
        <v>124</v>
      </c>
      <c r="D20" s="881">
        <f t="shared" si="3"/>
        <v>65197</v>
      </c>
      <c r="E20" s="881">
        <f t="shared" si="6"/>
        <v>7162</v>
      </c>
      <c r="F20" s="881">
        <v>2718</v>
      </c>
      <c r="G20" s="881">
        <v>4444</v>
      </c>
      <c r="H20" s="881">
        <f t="shared" si="4"/>
        <v>10858</v>
      </c>
      <c r="I20" s="881">
        <v>10838</v>
      </c>
      <c r="J20" s="881">
        <v>1425</v>
      </c>
      <c r="K20" s="881">
        <v>20</v>
      </c>
      <c r="L20" s="881">
        <v>1962</v>
      </c>
      <c r="M20" s="881">
        <f t="shared" si="1"/>
        <v>47177</v>
      </c>
      <c r="N20" s="883">
        <v>5110</v>
      </c>
      <c r="O20" s="883">
        <v>17686</v>
      </c>
      <c r="P20" s="883">
        <v>14745</v>
      </c>
      <c r="Q20" s="883">
        <v>9626</v>
      </c>
      <c r="R20" s="883">
        <v>10</v>
      </c>
      <c r="U20" s="880"/>
    </row>
    <row r="21" spans="1:21" x14ac:dyDescent="0.2">
      <c r="A21" s="309">
        <v>11</v>
      </c>
      <c r="B21" s="219" t="s">
        <v>125</v>
      </c>
      <c r="C21" s="220" t="s">
        <v>126</v>
      </c>
      <c r="D21" s="881">
        <f t="shared" si="3"/>
        <v>50709</v>
      </c>
      <c r="E21" s="881">
        <f t="shared" si="6"/>
        <v>6280</v>
      </c>
      <c r="F21" s="881">
        <v>1992</v>
      </c>
      <c r="G21" s="881">
        <v>4288</v>
      </c>
      <c r="H21" s="881">
        <f t="shared" si="4"/>
        <v>8007</v>
      </c>
      <c r="I21" s="881">
        <v>7941</v>
      </c>
      <c r="J21" s="881">
        <v>1044</v>
      </c>
      <c r="K21" s="881">
        <v>66</v>
      </c>
      <c r="L21" s="881">
        <v>1423</v>
      </c>
      <c r="M21" s="881">
        <f t="shared" si="1"/>
        <v>36422</v>
      </c>
      <c r="N21" s="883">
        <v>7625</v>
      </c>
      <c r="O21" s="883">
        <v>11985</v>
      </c>
      <c r="P21" s="883">
        <v>9105</v>
      </c>
      <c r="Q21" s="883">
        <v>7703</v>
      </c>
      <c r="R21" s="883">
        <v>4</v>
      </c>
      <c r="U21" s="880"/>
    </row>
    <row r="22" spans="1:21" x14ac:dyDescent="0.2">
      <c r="A22" s="309">
        <v>12</v>
      </c>
      <c r="B22" s="219" t="s">
        <v>127</v>
      </c>
      <c r="C22" s="220" t="s">
        <v>128</v>
      </c>
      <c r="D22" s="881">
        <f t="shared" si="3"/>
        <v>102613</v>
      </c>
      <c r="E22" s="881">
        <f t="shared" si="6"/>
        <v>12222</v>
      </c>
      <c r="F22" s="881">
        <v>4016</v>
      </c>
      <c r="G22" s="881">
        <v>8206</v>
      </c>
      <c r="H22" s="881">
        <f t="shared" si="4"/>
        <v>16184</v>
      </c>
      <c r="I22" s="881">
        <v>16014</v>
      </c>
      <c r="J22" s="881">
        <v>2105</v>
      </c>
      <c r="K22" s="881">
        <v>170</v>
      </c>
      <c r="L22" s="881">
        <v>2896</v>
      </c>
      <c r="M22" s="881">
        <f t="shared" si="1"/>
        <v>74207</v>
      </c>
      <c r="N22" s="883">
        <v>5220</v>
      </c>
      <c r="O22" s="883">
        <v>39900</v>
      </c>
      <c r="P22" s="883">
        <v>2500</v>
      </c>
      <c r="Q22" s="883">
        <v>25572</v>
      </c>
      <c r="R22" s="883">
        <v>1015</v>
      </c>
      <c r="U22" s="880"/>
    </row>
    <row r="23" spans="1:21" x14ac:dyDescent="0.2">
      <c r="A23" s="309">
        <v>13</v>
      </c>
      <c r="B23" s="219" t="s">
        <v>129</v>
      </c>
      <c r="C23" s="220" t="s">
        <v>130</v>
      </c>
      <c r="D23" s="881">
        <f t="shared" si="3"/>
        <v>0</v>
      </c>
      <c r="E23" s="881">
        <f t="shared" si="6"/>
        <v>0</v>
      </c>
      <c r="F23" s="881">
        <v>0</v>
      </c>
      <c r="G23" s="881">
        <v>0</v>
      </c>
      <c r="H23" s="881">
        <f t="shared" si="4"/>
        <v>0</v>
      </c>
      <c r="I23" s="881">
        <v>0</v>
      </c>
      <c r="J23" s="881">
        <v>0</v>
      </c>
      <c r="K23" s="881">
        <v>0</v>
      </c>
      <c r="L23" s="881">
        <v>0</v>
      </c>
      <c r="M23" s="881">
        <f t="shared" si="1"/>
        <v>0</v>
      </c>
      <c r="N23" s="883">
        <v>0</v>
      </c>
      <c r="O23" s="883">
        <v>0</v>
      </c>
      <c r="P23" s="883">
        <v>0</v>
      </c>
      <c r="Q23" s="883">
        <v>0</v>
      </c>
      <c r="R23" s="883">
        <v>0</v>
      </c>
      <c r="U23" s="880"/>
    </row>
    <row r="24" spans="1:21" x14ac:dyDescent="0.2">
      <c r="A24" s="309">
        <v>14</v>
      </c>
      <c r="B24" s="219" t="s">
        <v>131</v>
      </c>
      <c r="C24" s="220" t="s">
        <v>132</v>
      </c>
      <c r="D24" s="881">
        <f t="shared" si="3"/>
        <v>67431</v>
      </c>
      <c r="E24" s="881">
        <f t="shared" si="6"/>
        <v>8780</v>
      </c>
      <c r="F24" s="881">
        <v>2564</v>
      </c>
      <c r="G24" s="881">
        <v>6216</v>
      </c>
      <c r="H24" s="881">
        <f t="shared" si="4"/>
        <v>10337</v>
      </c>
      <c r="I24" s="881">
        <v>10222</v>
      </c>
      <c r="J24" s="881">
        <v>1344</v>
      </c>
      <c r="K24" s="881">
        <v>115</v>
      </c>
      <c r="L24" s="881">
        <v>1956</v>
      </c>
      <c r="M24" s="881">
        <f t="shared" si="1"/>
        <v>48314</v>
      </c>
      <c r="N24" s="883">
        <v>8413</v>
      </c>
      <c r="O24" s="883">
        <v>17768</v>
      </c>
      <c r="P24" s="883">
        <v>7746</v>
      </c>
      <c r="Q24" s="883">
        <v>14045</v>
      </c>
      <c r="R24" s="883">
        <v>342</v>
      </c>
      <c r="U24" s="880"/>
    </row>
    <row r="25" spans="1:21" x14ac:dyDescent="0.2">
      <c r="A25" s="309">
        <v>15</v>
      </c>
      <c r="B25" s="219" t="s">
        <v>133</v>
      </c>
      <c r="C25" s="220" t="s">
        <v>134</v>
      </c>
      <c r="D25" s="881">
        <f t="shared" si="3"/>
        <v>99493</v>
      </c>
      <c r="E25" s="881">
        <f t="shared" si="6"/>
        <v>14083</v>
      </c>
      <c r="F25" s="881">
        <v>3485</v>
      </c>
      <c r="G25" s="881">
        <v>10598</v>
      </c>
      <c r="H25" s="881">
        <f t="shared" si="4"/>
        <v>14073</v>
      </c>
      <c r="I25" s="881">
        <v>13895</v>
      </c>
      <c r="J25" s="881">
        <v>1827</v>
      </c>
      <c r="K25" s="881">
        <v>178</v>
      </c>
      <c r="L25" s="881">
        <v>2708</v>
      </c>
      <c r="M25" s="881">
        <f t="shared" si="1"/>
        <v>71337</v>
      </c>
      <c r="N25" s="883">
        <v>3565</v>
      </c>
      <c r="O25" s="883">
        <v>33826</v>
      </c>
      <c r="P25" s="883">
        <v>500</v>
      </c>
      <c r="Q25" s="883">
        <v>33427</v>
      </c>
      <c r="R25" s="883">
        <v>19</v>
      </c>
      <c r="U25" s="880"/>
    </row>
    <row r="26" spans="1:21" x14ac:dyDescent="0.2">
      <c r="A26" s="309">
        <v>16</v>
      </c>
      <c r="B26" s="219" t="s">
        <v>135</v>
      </c>
      <c r="C26" s="220" t="s">
        <v>136</v>
      </c>
      <c r="D26" s="881">
        <f t="shared" si="3"/>
        <v>129913</v>
      </c>
      <c r="E26" s="881">
        <f t="shared" si="6"/>
        <v>17924</v>
      </c>
      <c r="F26" s="881">
        <v>4778</v>
      </c>
      <c r="G26" s="881">
        <v>13146</v>
      </c>
      <c r="H26" s="881">
        <f t="shared" si="4"/>
        <v>19164</v>
      </c>
      <c r="I26" s="881">
        <v>19053</v>
      </c>
      <c r="J26" s="881">
        <v>2505</v>
      </c>
      <c r="K26" s="881">
        <v>111</v>
      </c>
      <c r="L26" s="881">
        <v>3630</v>
      </c>
      <c r="M26" s="881">
        <f t="shared" si="1"/>
        <v>92825</v>
      </c>
      <c r="N26" s="883">
        <v>4134</v>
      </c>
      <c r="O26" s="883">
        <v>44670</v>
      </c>
      <c r="P26" s="883">
        <v>9000</v>
      </c>
      <c r="Q26" s="883">
        <v>35000</v>
      </c>
      <c r="R26" s="883">
        <v>21</v>
      </c>
      <c r="U26" s="880"/>
    </row>
    <row r="27" spans="1:21" x14ac:dyDescent="0.2">
      <c r="A27" s="309">
        <v>17</v>
      </c>
      <c r="B27" s="219" t="s">
        <v>30</v>
      </c>
      <c r="C27" s="220" t="s">
        <v>31</v>
      </c>
      <c r="D27" s="881">
        <f t="shared" si="3"/>
        <v>255341</v>
      </c>
      <c r="E27" s="881">
        <f t="shared" si="6"/>
        <v>30219</v>
      </c>
      <c r="F27" s="881">
        <v>9212</v>
      </c>
      <c r="G27" s="881">
        <v>21007</v>
      </c>
      <c r="H27" s="881">
        <f t="shared" si="4"/>
        <v>37363</v>
      </c>
      <c r="I27" s="881">
        <v>36733</v>
      </c>
      <c r="J27" s="881">
        <v>4829</v>
      </c>
      <c r="K27" s="881">
        <v>630</v>
      </c>
      <c r="L27" s="881">
        <v>7034</v>
      </c>
      <c r="M27" s="881">
        <f t="shared" si="1"/>
        <v>187759</v>
      </c>
      <c r="N27" s="883">
        <v>12650</v>
      </c>
      <c r="O27" s="883">
        <v>59534</v>
      </c>
      <c r="P27" s="883">
        <v>51600</v>
      </c>
      <c r="Q27" s="883">
        <v>63006</v>
      </c>
      <c r="R27" s="883">
        <v>969</v>
      </c>
      <c r="U27" s="880"/>
    </row>
    <row r="28" spans="1:21" x14ac:dyDescent="0.2">
      <c r="A28" s="309">
        <v>18</v>
      </c>
      <c r="B28" s="222" t="s">
        <v>137</v>
      </c>
      <c r="C28" s="220" t="s">
        <v>138</v>
      </c>
      <c r="D28" s="881">
        <f t="shared" si="3"/>
        <v>41933</v>
      </c>
      <c r="E28" s="881">
        <f t="shared" si="6"/>
        <v>6179</v>
      </c>
      <c r="F28" s="881">
        <v>1471</v>
      </c>
      <c r="G28" s="881">
        <v>4708</v>
      </c>
      <c r="H28" s="881">
        <f t="shared" si="4"/>
        <v>5890</v>
      </c>
      <c r="I28" s="881">
        <v>5866</v>
      </c>
      <c r="J28" s="881">
        <v>771</v>
      </c>
      <c r="K28" s="881">
        <v>24</v>
      </c>
      <c r="L28" s="881">
        <v>1146</v>
      </c>
      <c r="M28" s="881">
        <f t="shared" si="1"/>
        <v>29864</v>
      </c>
      <c r="N28" s="883">
        <v>1778</v>
      </c>
      <c r="O28" s="883">
        <v>18546</v>
      </c>
      <c r="P28" s="883">
        <v>2240</v>
      </c>
      <c r="Q28" s="883">
        <v>7300</v>
      </c>
      <c r="R28" s="883">
        <v>0</v>
      </c>
      <c r="U28" s="880"/>
    </row>
    <row r="29" spans="1:21" x14ac:dyDescent="0.2">
      <c r="A29" s="309">
        <v>19</v>
      </c>
      <c r="B29" s="222" t="s">
        <v>139</v>
      </c>
      <c r="C29" s="220" t="s">
        <v>140</v>
      </c>
      <c r="D29" s="881">
        <f t="shared" si="3"/>
        <v>31216</v>
      </c>
      <c r="E29" s="881">
        <f t="shared" si="6"/>
        <v>3764</v>
      </c>
      <c r="F29" s="881">
        <v>1219</v>
      </c>
      <c r="G29" s="881">
        <v>2545</v>
      </c>
      <c r="H29" s="881">
        <f t="shared" si="4"/>
        <v>5043</v>
      </c>
      <c r="I29" s="881">
        <v>4861</v>
      </c>
      <c r="J29" s="881">
        <v>639</v>
      </c>
      <c r="K29" s="881">
        <v>182</v>
      </c>
      <c r="L29" s="881">
        <v>854</v>
      </c>
      <c r="M29" s="881">
        <f t="shared" si="1"/>
        <v>22409</v>
      </c>
      <c r="N29" s="883">
        <v>5009</v>
      </c>
      <c r="O29" s="883">
        <v>8997</v>
      </c>
      <c r="P29" s="883">
        <v>0</v>
      </c>
      <c r="Q29" s="883">
        <v>8400</v>
      </c>
      <c r="R29" s="883">
        <v>3</v>
      </c>
      <c r="U29" s="880"/>
    </row>
    <row r="30" spans="1:21" x14ac:dyDescent="0.2">
      <c r="A30" s="309">
        <v>20</v>
      </c>
      <c r="B30" s="222" t="s">
        <v>84</v>
      </c>
      <c r="C30" s="220" t="s">
        <v>85</v>
      </c>
      <c r="D30" s="881">
        <f t="shared" si="3"/>
        <v>166390</v>
      </c>
      <c r="E30" s="881">
        <f t="shared" si="6"/>
        <v>21419</v>
      </c>
      <c r="F30" s="881">
        <v>6321</v>
      </c>
      <c r="G30" s="881">
        <v>15098</v>
      </c>
      <c r="H30" s="881">
        <f t="shared" si="4"/>
        <v>25406</v>
      </c>
      <c r="I30" s="881">
        <v>25206</v>
      </c>
      <c r="J30" s="881">
        <v>3314</v>
      </c>
      <c r="K30" s="881">
        <v>200</v>
      </c>
      <c r="L30" s="881">
        <v>4664</v>
      </c>
      <c r="M30" s="881">
        <f t="shared" si="1"/>
        <v>119565</v>
      </c>
      <c r="N30" s="883">
        <v>8748</v>
      </c>
      <c r="O30" s="883">
        <v>54600</v>
      </c>
      <c r="P30" s="883">
        <v>11235</v>
      </c>
      <c r="Q30" s="883">
        <v>44053</v>
      </c>
      <c r="R30" s="883">
        <v>929</v>
      </c>
      <c r="U30" s="880"/>
    </row>
    <row r="31" spans="1:21" x14ac:dyDescent="0.2">
      <c r="A31" s="309">
        <v>21</v>
      </c>
      <c r="B31" s="222" t="s">
        <v>141</v>
      </c>
      <c r="C31" s="220" t="s">
        <v>142</v>
      </c>
      <c r="D31" s="881">
        <f t="shared" si="3"/>
        <v>157098</v>
      </c>
      <c r="E31" s="881">
        <f t="shared" si="6"/>
        <v>19768</v>
      </c>
      <c r="F31" s="881">
        <v>5417</v>
      </c>
      <c r="G31" s="881">
        <v>14351</v>
      </c>
      <c r="H31" s="881">
        <f t="shared" si="4"/>
        <v>21752</v>
      </c>
      <c r="I31" s="881">
        <v>21600</v>
      </c>
      <c r="J31" s="881">
        <v>2840</v>
      </c>
      <c r="K31" s="881">
        <v>152</v>
      </c>
      <c r="L31" s="881">
        <v>4340</v>
      </c>
      <c r="M31" s="881">
        <f t="shared" si="1"/>
        <v>115578</v>
      </c>
      <c r="N31" s="883">
        <v>9303</v>
      </c>
      <c r="O31" s="883">
        <v>60333</v>
      </c>
      <c r="P31" s="883">
        <v>2000</v>
      </c>
      <c r="Q31" s="883">
        <v>42899</v>
      </c>
      <c r="R31" s="883">
        <v>1043</v>
      </c>
      <c r="U31" s="880"/>
    </row>
    <row r="32" spans="1:21" x14ac:dyDescent="0.2">
      <c r="A32" s="309">
        <v>22</v>
      </c>
      <c r="B32" s="219" t="s">
        <v>143</v>
      </c>
      <c r="C32" s="220" t="s">
        <v>144</v>
      </c>
      <c r="D32" s="881">
        <f t="shared" si="3"/>
        <v>37606</v>
      </c>
      <c r="E32" s="881">
        <f t="shared" si="6"/>
        <v>3867</v>
      </c>
      <c r="F32" s="881">
        <v>1331</v>
      </c>
      <c r="G32" s="881">
        <v>2536</v>
      </c>
      <c r="H32" s="881">
        <f t="shared" si="4"/>
        <v>5337</v>
      </c>
      <c r="I32" s="881">
        <v>5309</v>
      </c>
      <c r="J32" s="881">
        <v>698</v>
      </c>
      <c r="K32" s="881">
        <v>28</v>
      </c>
      <c r="L32" s="881">
        <v>974</v>
      </c>
      <c r="M32" s="881">
        <f t="shared" si="1"/>
        <v>28402</v>
      </c>
      <c r="N32" s="883">
        <v>4217</v>
      </c>
      <c r="O32" s="883">
        <v>13838</v>
      </c>
      <c r="P32" s="883">
        <v>2200</v>
      </c>
      <c r="Q32" s="883">
        <v>8141</v>
      </c>
      <c r="R32" s="883">
        <v>6</v>
      </c>
      <c r="U32" s="880"/>
    </row>
    <row r="33" spans="1:21" x14ac:dyDescent="0.2">
      <c r="A33" s="309">
        <v>23</v>
      </c>
      <c r="B33" s="219" t="s">
        <v>145</v>
      </c>
      <c r="C33" s="220" t="s">
        <v>146</v>
      </c>
      <c r="D33" s="881">
        <f t="shared" si="3"/>
        <v>0</v>
      </c>
      <c r="E33" s="881">
        <f t="shared" si="6"/>
        <v>0</v>
      </c>
      <c r="F33" s="881">
        <v>0</v>
      </c>
      <c r="G33" s="881">
        <v>0</v>
      </c>
      <c r="H33" s="881">
        <f t="shared" si="4"/>
        <v>0</v>
      </c>
      <c r="I33" s="881">
        <v>0</v>
      </c>
      <c r="J33" s="881">
        <v>0</v>
      </c>
      <c r="K33" s="881">
        <v>0</v>
      </c>
      <c r="L33" s="881">
        <v>0</v>
      </c>
      <c r="M33" s="881">
        <f t="shared" si="1"/>
        <v>0</v>
      </c>
      <c r="N33" s="883">
        <v>0</v>
      </c>
      <c r="O33" s="883">
        <v>0</v>
      </c>
      <c r="P33" s="883">
        <v>0</v>
      </c>
      <c r="Q33" s="883">
        <v>0</v>
      </c>
      <c r="R33" s="883">
        <v>0</v>
      </c>
      <c r="U33" s="880"/>
    </row>
    <row r="34" spans="1:21" ht="24" x14ac:dyDescent="0.2">
      <c r="A34" s="309">
        <v>24</v>
      </c>
      <c r="B34" s="219" t="s">
        <v>147</v>
      </c>
      <c r="C34" s="220" t="s">
        <v>148</v>
      </c>
      <c r="D34" s="881">
        <f t="shared" si="3"/>
        <v>0</v>
      </c>
      <c r="E34" s="881">
        <f t="shared" si="6"/>
        <v>0</v>
      </c>
      <c r="F34" s="881">
        <v>0</v>
      </c>
      <c r="G34" s="881">
        <v>0</v>
      </c>
      <c r="H34" s="881">
        <f t="shared" si="4"/>
        <v>0</v>
      </c>
      <c r="I34" s="881">
        <v>0</v>
      </c>
      <c r="J34" s="881">
        <v>0</v>
      </c>
      <c r="K34" s="881">
        <v>0</v>
      </c>
      <c r="L34" s="881">
        <v>0</v>
      </c>
      <c r="M34" s="881">
        <f t="shared" si="1"/>
        <v>0</v>
      </c>
      <c r="N34" s="883">
        <v>0</v>
      </c>
      <c r="O34" s="883">
        <v>0</v>
      </c>
      <c r="P34" s="883">
        <v>0</v>
      </c>
      <c r="Q34" s="883">
        <v>0</v>
      </c>
      <c r="R34" s="883">
        <v>0</v>
      </c>
      <c r="U34" s="880"/>
    </row>
    <row r="35" spans="1:21" x14ac:dyDescent="0.2">
      <c r="A35" s="309">
        <v>25</v>
      </c>
      <c r="B35" s="222" t="s">
        <v>149</v>
      </c>
      <c r="C35" s="220" t="s">
        <v>150</v>
      </c>
      <c r="D35" s="881">
        <f t="shared" si="3"/>
        <v>532687</v>
      </c>
      <c r="E35" s="881">
        <f t="shared" si="6"/>
        <v>53153</v>
      </c>
      <c r="F35" s="881">
        <v>27819</v>
      </c>
      <c r="G35" s="881">
        <v>25334</v>
      </c>
      <c r="H35" s="881">
        <f t="shared" si="4"/>
        <v>110993</v>
      </c>
      <c r="I35" s="881">
        <v>110927</v>
      </c>
      <c r="J35" s="881">
        <v>14584</v>
      </c>
      <c r="K35" s="881">
        <v>66</v>
      </c>
      <c r="L35" s="881">
        <v>22023</v>
      </c>
      <c r="M35" s="881">
        <f t="shared" si="1"/>
        <v>368541</v>
      </c>
      <c r="N35" s="883">
        <v>153016</v>
      </c>
      <c r="O35" s="883">
        <v>96979</v>
      </c>
      <c r="P35" s="883">
        <v>48600</v>
      </c>
      <c r="Q35" s="883">
        <v>66349</v>
      </c>
      <c r="R35" s="883">
        <v>3597</v>
      </c>
      <c r="U35" s="880"/>
    </row>
    <row r="36" spans="1:21" x14ac:dyDescent="0.2">
      <c r="A36" s="309">
        <v>26</v>
      </c>
      <c r="B36" s="219" t="s">
        <v>151</v>
      </c>
      <c r="C36" s="220" t="s">
        <v>152</v>
      </c>
      <c r="D36" s="881">
        <f t="shared" si="3"/>
        <v>218418</v>
      </c>
      <c r="E36" s="881">
        <f t="shared" si="6"/>
        <v>42751</v>
      </c>
      <c r="F36" s="881">
        <v>0</v>
      </c>
      <c r="G36" s="881">
        <v>42751</v>
      </c>
      <c r="H36" s="881">
        <f t="shared" si="4"/>
        <v>272</v>
      </c>
      <c r="I36" s="881">
        <v>0</v>
      </c>
      <c r="J36" s="881">
        <v>0</v>
      </c>
      <c r="K36" s="881">
        <v>272</v>
      </c>
      <c r="L36" s="881">
        <v>0</v>
      </c>
      <c r="M36" s="881">
        <f t="shared" si="1"/>
        <v>175395</v>
      </c>
      <c r="N36" s="883">
        <v>0</v>
      </c>
      <c r="O36" s="883">
        <v>62329</v>
      </c>
      <c r="P36" s="883">
        <v>48000</v>
      </c>
      <c r="Q36" s="883">
        <v>64982</v>
      </c>
      <c r="R36" s="883">
        <v>84</v>
      </c>
      <c r="U36" s="880"/>
    </row>
    <row r="37" spans="1:21" x14ac:dyDescent="0.2">
      <c r="A37" s="309">
        <v>27</v>
      </c>
      <c r="B37" s="224" t="s">
        <v>153</v>
      </c>
      <c r="C37" s="220" t="s">
        <v>154</v>
      </c>
      <c r="D37" s="881">
        <f t="shared" si="3"/>
        <v>13320</v>
      </c>
      <c r="E37" s="881">
        <f t="shared" si="6"/>
        <v>0</v>
      </c>
      <c r="F37" s="881">
        <v>0</v>
      </c>
      <c r="G37" s="881">
        <v>0</v>
      </c>
      <c r="H37" s="881">
        <f t="shared" si="4"/>
        <v>0</v>
      </c>
      <c r="I37" s="881">
        <v>0</v>
      </c>
      <c r="J37" s="881">
        <v>0</v>
      </c>
      <c r="K37" s="881">
        <v>0</v>
      </c>
      <c r="L37" s="881">
        <v>0</v>
      </c>
      <c r="M37" s="881">
        <f t="shared" si="1"/>
        <v>13320</v>
      </c>
      <c r="N37" s="883">
        <v>0</v>
      </c>
      <c r="O37" s="883">
        <v>10270</v>
      </c>
      <c r="P37" s="883">
        <v>3050</v>
      </c>
      <c r="Q37" s="883">
        <v>0</v>
      </c>
      <c r="R37" s="883">
        <v>0</v>
      </c>
      <c r="U37" s="880"/>
    </row>
    <row r="38" spans="1:21" x14ac:dyDescent="0.2">
      <c r="A38" s="309">
        <v>28</v>
      </c>
      <c r="B38" s="222" t="s">
        <v>155</v>
      </c>
      <c r="C38" s="311" t="s">
        <v>156</v>
      </c>
      <c r="D38" s="881">
        <f t="shared" si="3"/>
        <v>0</v>
      </c>
      <c r="E38" s="881">
        <f t="shared" si="6"/>
        <v>0</v>
      </c>
      <c r="F38" s="881">
        <v>0</v>
      </c>
      <c r="G38" s="881">
        <v>0</v>
      </c>
      <c r="H38" s="881">
        <f t="shared" si="4"/>
        <v>0</v>
      </c>
      <c r="I38" s="881">
        <v>0</v>
      </c>
      <c r="J38" s="881">
        <v>0</v>
      </c>
      <c r="K38" s="881">
        <v>0</v>
      </c>
      <c r="L38" s="881">
        <v>0</v>
      </c>
      <c r="M38" s="881">
        <f t="shared" si="1"/>
        <v>0</v>
      </c>
      <c r="N38" s="883">
        <v>0</v>
      </c>
      <c r="O38" s="883">
        <v>0</v>
      </c>
      <c r="P38" s="883">
        <v>0</v>
      </c>
      <c r="Q38" s="883">
        <v>0</v>
      </c>
      <c r="R38" s="883">
        <v>0</v>
      </c>
      <c r="U38" s="880"/>
    </row>
    <row r="39" spans="1:21" x14ac:dyDescent="0.2">
      <c r="A39" s="309">
        <v>29</v>
      </c>
      <c r="B39" s="224" t="s">
        <v>157</v>
      </c>
      <c r="C39" s="220" t="s">
        <v>158</v>
      </c>
      <c r="D39" s="881">
        <f t="shared" si="3"/>
        <v>204113</v>
      </c>
      <c r="E39" s="881">
        <f t="shared" si="6"/>
        <v>23255</v>
      </c>
      <c r="F39" s="881">
        <v>7743</v>
      </c>
      <c r="G39" s="881">
        <v>15512</v>
      </c>
      <c r="H39" s="881">
        <f t="shared" si="4"/>
        <v>31191</v>
      </c>
      <c r="I39" s="881">
        <v>30874</v>
      </c>
      <c r="J39" s="881">
        <v>4059</v>
      </c>
      <c r="K39" s="881">
        <v>317</v>
      </c>
      <c r="L39" s="881">
        <v>5683</v>
      </c>
      <c r="M39" s="881">
        <f t="shared" si="1"/>
        <v>149667</v>
      </c>
      <c r="N39" s="883">
        <v>14135</v>
      </c>
      <c r="O39" s="883">
        <v>55112</v>
      </c>
      <c r="P39" s="883">
        <v>15000</v>
      </c>
      <c r="Q39" s="883">
        <v>64672</v>
      </c>
      <c r="R39" s="883">
        <v>748</v>
      </c>
      <c r="U39" s="880"/>
    </row>
    <row r="40" spans="1:21" x14ac:dyDescent="0.2">
      <c r="A40" s="309">
        <v>30</v>
      </c>
      <c r="B40" s="222" t="s">
        <v>46</v>
      </c>
      <c r="C40" s="220" t="s">
        <v>47</v>
      </c>
      <c r="D40" s="881">
        <f t="shared" si="3"/>
        <v>313929</v>
      </c>
      <c r="E40" s="881">
        <f t="shared" si="6"/>
        <v>37447</v>
      </c>
      <c r="F40" s="881">
        <v>11628</v>
      </c>
      <c r="G40" s="881">
        <v>25819</v>
      </c>
      <c r="H40" s="881">
        <f t="shared" si="4"/>
        <v>46604</v>
      </c>
      <c r="I40" s="881">
        <v>46365</v>
      </c>
      <c r="J40" s="881">
        <v>6096</v>
      </c>
      <c r="K40" s="881">
        <v>239</v>
      </c>
      <c r="L40" s="881">
        <v>9124</v>
      </c>
      <c r="M40" s="881">
        <f t="shared" ref="M40:M103" si="7">SUM(N40:R40)</f>
        <v>229878</v>
      </c>
      <c r="N40" s="883">
        <v>29339</v>
      </c>
      <c r="O40" s="883">
        <v>89507</v>
      </c>
      <c r="P40" s="883">
        <v>43000</v>
      </c>
      <c r="Q40" s="883">
        <v>66455</v>
      </c>
      <c r="R40" s="883">
        <v>1577</v>
      </c>
      <c r="U40" s="880"/>
    </row>
    <row r="41" spans="1:21" x14ac:dyDescent="0.2">
      <c r="A41" s="309">
        <v>31</v>
      </c>
      <c r="B41" s="224" t="s">
        <v>159</v>
      </c>
      <c r="C41" s="220" t="s">
        <v>160</v>
      </c>
      <c r="D41" s="881">
        <f t="shared" si="3"/>
        <v>56977</v>
      </c>
      <c r="E41" s="881">
        <f t="shared" si="6"/>
        <v>7287</v>
      </c>
      <c r="F41" s="881">
        <v>2194</v>
      </c>
      <c r="G41" s="881">
        <v>5093</v>
      </c>
      <c r="H41" s="881">
        <f t="shared" si="4"/>
        <v>8780</v>
      </c>
      <c r="I41" s="881">
        <v>8750</v>
      </c>
      <c r="J41" s="881">
        <v>1150</v>
      </c>
      <c r="K41" s="881">
        <v>30</v>
      </c>
      <c r="L41" s="881">
        <v>1565</v>
      </c>
      <c r="M41" s="881">
        <f t="shared" si="7"/>
        <v>40910</v>
      </c>
      <c r="N41" s="883">
        <v>3948</v>
      </c>
      <c r="O41" s="883">
        <v>16400</v>
      </c>
      <c r="P41" s="883">
        <v>2656</v>
      </c>
      <c r="Q41" s="883">
        <v>17900</v>
      </c>
      <c r="R41" s="883">
        <v>6</v>
      </c>
      <c r="U41" s="880"/>
    </row>
    <row r="42" spans="1:21" x14ac:dyDescent="0.2">
      <c r="A42" s="309">
        <v>32</v>
      </c>
      <c r="B42" s="219" t="s">
        <v>58</v>
      </c>
      <c r="C42" s="220" t="s">
        <v>59</v>
      </c>
      <c r="D42" s="881">
        <f t="shared" si="3"/>
        <v>206047</v>
      </c>
      <c r="E42" s="881">
        <f t="shared" si="6"/>
        <v>24735</v>
      </c>
      <c r="F42" s="881">
        <v>7857</v>
      </c>
      <c r="G42" s="881">
        <v>16878</v>
      </c>
      <c r="H42" s="881">
        <f t="shared" si="4"/>
        <v>31599</v>
      </c>
      <c r="I42" s="881">
        <v>31331</v>
      </c>
      <c r="J42" s="881">
        <v>4119</v>
      </c>
      <c r="K42" s="881">
        <v>268</v>
      </c>
      <c r="L42" s="881">
        <v>5851</v>
      </c>
      <c r="M42" s="881">
        <f t="shared" si="7"/>
        <v>149713</v>
      </c>
      <c r="N42" s="883">
        <v>18110</v>
      </c>
      <c r="O42" s="883">
        <v>49836</v>
      </c>
      <c r="P42" s="883">
        <v>43057</v>
      </c>
      <c r="Q42" s="883">
        <v>37744</v>
      </c>
      <c r="R42" s="883">
        <v>966</v>
      </c>
      <c r="U42" s="880"/>
    </row>
    <row r="43" spans="1:21" x14ac:dyDescent="0.2">
      <c r="A43" s="309">
        <v>33</v>
      </c>
      <c r="B43" s="224" t="s">
        <v>161</v>
      </c>
      <c r="C43" s="220" t="s">
        <v>162</v>
      </c>
      <c r="D43" s="881">
        <f t="shared" si="3"/>
        <v>72729</v>
      </c>
      <c r="E43" s="881">
        <f t="shared" si="6"/>
        <v>9478</v>
      </c>
      <c r="F43" s="881">
        <v>2889</v>
      </c>
      <c r="G43" s="881">
        <v>6589</v>
      </c>
      <c r="H43" s="881">
        <f t="shared" si="4"/>
        <v>11606</v>
      </c>
      <c r="I43" s="881">
        <v>11521</v>
      </c>
      <c r="J43" s="881">
        <v>1515</v>
      </c>
      <c r="K43" s="881">
        <v>85</v>
      </c>
      <c r="L43" s="881">
        <v>2070</v>
      </c>
      <c r="M43" s="881">
        <f t="shared" si="7"/>
        <v>51645</v>
      </c>
      <c r="N43" s="883">
        <v>4823</v>
      </c>
      <c r="O43" s="883">
        <v>26638</v>
      </c>
      <c r="P43" s="883">
        <v>7790</v>
      </c>
      <c r="Q43" s="883">
        <v>11943</v>
      </c>
      <c r="R43" s="883">
        <v>451</v>
      </c>
      <c r="U43" s="880"/>
    </row>
    <row r="44" spans="1:21" x14ac:dyDescent="0.2">
      <c r="A44" s="309">
        <v>34</v>
      </c>
      <c r="B44" s="222" t="s">
        <v>82</v>
      </c>
      <c r="C44" s="220" t="s">
        <v>83</v>
      </c>
      <c r="D44" s="881">
        <f t="shared" si="3"/>
        <v>195455</v>
      </c>
      <c r="E44" s="881">
        <f t="shared" si="6"/>
        <v>24556</v>
      </c>
      <c r="F44" s="881">
        <v>7530</v>
      </c>
      <c r="G44" s="881">
        <v>17026</v>
      </c>
      <c r="H44" s="881">
        <f t="shared" si="4"/>
        <v>30296</v>
      </c>
      <c r="I44" s="881">
        <v>30024</v>
      </c>
      <c r="J44" s="881">
        <v>3947</v>
      </c>
      <c r="K44" s="881">
        <v>272</v>
      </c>
      <c r="L44" s="881">
        <v>5720</v>
      </c>
      <c r="M44" s="881">
        <f t="shared" si="7"/>
        <v>140603</v>
      </c>
      <c r="N44" s="883">
        <v>15796</v>
      </c>
      <c r="O44" s="883">
        <v>72881</v>
      </c>
      <c r="P44" s="883">
        <v>9670</v>
      </c>
      <c r="Q44" s="883">
        <v>41021</v>
      </c>
      <c r="R44" s="883">
        <v>1235</v>
      </c>
      <c r="U44" s="880"/>
    </row>
    <row r="45" spans="1:21" x14ac:dyDescent="0.2">
      <c r="A45" s="309">
        <v>35</v>
      </c>
      <c r="B45" s="312" t="s">
        <v>163</v>
      </c>
      <c r="C45" s="313" t="s">
        <v>164</v>
      </c>
      <c r="D45" s="881">
        <f t="shared" si="3"/>
        <v>67071</v>
      </c>
      <c r="E45" s="881">
        <f t="shared" si="6"/>
        <v>8396</v>
      </c>
      <c r="F45" s="881">
        <v>2622</v>
      </c>
      <c r="G45" s="881">
        <v>5774</v>
      </c>
      <c r="H45" s="881">
        <f t="shared" si="4"/>
        <v>10496</v>
      </c>
      <c r="I45" s="881">
        <v>10453</v>
      </c>
      <c r="J45" s="881">
        <v>1374</v>
      </c>
      <c r="K45" s="881">
        <v>43</v>
      </c>
      <c r="L45" s="881">
        <v>1852</v>
      </c>
      <c r="M45" s="881">
        <f t="shared" si="7"/>
        <v>48179</v>
      </c>
      <c r="N45" s="883">
        <v>5758</v>
      </c>
      <c r="O45" s="883">
        <v>14790</v>
      </c>
      <c r="P45" s="883">
        <v>8350</v>
      </c>
      <c r="Q45" s="883">
        <v>19016</v>
      </c>
      <c r="R45" s="883">
        <v>265</v>
      </c>
      <c r="U45" s="880"/>
    </row>
    <row r="46" spans="1:21" x14ac:dyDescent="0.2">
      <c r="A46" s="309">
        <v>36</v>
      </c>
      <c r="B46" s="222" t="s">
        <v>165</v>
      </c>
      <c r="C46" s="220" t="s">
        <v>166</v>
      </c>
      <c r="D46" s="881">
        <f t="shared" si="3"/>
        <v>41745</v>
      </c>
      <c r="E46" s="881">
        <f t="shared" si="6"/>
        <v>4613</v>
      </c>
      <c r="F46" s="881">
        <v>1733</v>
      </c>
      <c r="G46" s="881">
        <v>2880</v>
      </c>
      <c r="H46" s="881">
        <f t="shared" si="4"/>
        <v>7043</v>
      </c>
      <c r="I46" s="881">
        <v>6911</v>
      </c>
      <c r="J46" s="881">
        <v>909</v>
      </c>
      <c r="K46" s="881">
        <v>132</v>
      </c>
      <c r="L46" s="881">
        <v>1111</v>
      </c>
      <c r="M46" s="881">
        <f t="shared" si="7"/>
        <v>30089</v>
      </c>
      <c r="N46" s="883">
        <v>4060</v>
      </c>
      <c r="O46" s="883">
        <v>15708</v>
      </c>
      <c r="P46" s="883">
        <v>2400</v>
      </c>
      <c r="Q46" s="883">
        <v>7920</v>
      </c>
      <c r="R46" s="883">
        <v>1</v>
      </c>
      <c r="U46" s="880"/>
    </row>
    <row r="47" spans="1:21" x14ac:dyDescent="0.2">
      <c r="A47" s="309">
        <v>37</v>
      </c>
      <c r="B47" s="222" t="s">
        <v>86</v>
      </c>
      <c r="C47" s="220" t="s">
        <v>87</v>
      </c>
      <c r="D47" s="881">
        <f t="shared" si="3"/>
        <v>72919</v>
      </c>
      <c r="E47" s="881">
        <f t="shared" si="6"/>
        <v>8327</v>
      </c>
      <c r="F47" s="881">
        <v>2967</v>
      </c>
      <c r="G47" s="881">
        <v>5360</v>
      </c>
      <c r="H47" s="881">
        <f t="shared" si="4"/>
        <v>11923</v>
      </c>
      <c r="I47" s="881">
        <v>11831</v>
      </c>
      <c r="J47" s="881">
        <v>1555</v>
      </c>
      <c r="K47" s="881">
        <v>92</v>
      </c>
      <c r="L47" s="881">
        <v>1975</v>
      </c>
      <c r="M47" s="881">
        <f t="shared" si="7"/>
        <v>52669</v>
      </c>
      <c r="N47" s="883">
        <v>7137</v>
      </c>
      <c r="O47" s="883">
        <v>22158</v>
      </c>
      <c r="P47" s="883">
        <v>6970</v>
      </c>
      <c r="Q47" s="883">
        <v>16396</v>
      </c>
      <c r="R47" s="883">
        <v>8</v>
      </c>
      <c r="U47" s="880"/>
    </row>
    <row r="48" spans="1:21" x14ac:dyDescent="0.2">
      <c r="A48" s="309">
        <v>38</v>
      </c>
      <c r="B48" s="219" t="s">
        <v>167</v>
      </c>
      <c r="C48" s="220" t="s">
        <v>168</v>
      </c>
      <c r="D48" s="881">
        <f t="shared" si="3"/>
        <v>32920</v>
      </c>
      <c r="E48" s="881">
        <f t="shared" si="6"/>
        <v>3384</v>
      </c>
      <c r="F48" s="881">
        <v>1415</v>
      </c>
      <c r="G48" s="881">
        <v>1969</v>
      </c>
      <c r="H48" s="881">
        <f t="shared" si="4"/>
        <v>5694</v>
      </c>
      <c r="I48" s="881">
        <v>5642</v>
      </c>
      <c r="J48" s="881">
        <v>742</v>
      </c>
      <c r="K48" s="881">
        <v>52</v>
      </c>
      <c r="L48" s="881">
        <v>901</v>
      </c>
      <c r="M48" s="881">
        <f t="shared" si="7"/>
        <v>23842</v>
      </c>
      <c r="N48" s="883">
        <v>2186</v>
      </c>
      <c r="O48" s="883">
        <v>9331</v>
      </c>
      <c r="P48" s="883">
        <v>5300</v>
      </c>
      <c r="Q48" s="883">
        <v>7023</v>
      </c>
      <c r="R48" s="883">
        <v>2</v>
      </c>
      <c r="U48" s="880"/>
    </row>
    <row r="49" spans="1:21" x14ac:dyDescent="0.2">
      <c r="A49" s="309">
        <v>39</v>
      </c>
      <c r="B49" s="224" t="s">
        <v>169</v>
      </c>
      <c r="C49" s="220" t="s">
        <v>170</v>
      </c>
      <c r="D49" s="881">
        <f t="shared" si="3"/>
        <v>27792</v>
      </c>
      <c r="E49" s="881">
        <f t="shared" si="6"/>
        <v>2053</v>
      </c>
      <c r="F49" s="881">
        <v>2053</v>
      </c>
      <c r="G49" s="881">
        <v>0</v>
      </c>
      <c r="H49" s="881">
        <f t="shared" si="4"/>
        <v>8185</v>
      </c>
      <c r="I49" s="881">
        <v>8185</v>
      </c>
      <c r="J49" s="881">
        <v>1076</v>
      </c>
      <c r="K49" s="881">
        <v>0</v>
      </c>
      <c r="L49" s="881">
        <v>1400</v>
      </c>
      <c r="M49" s="881">
        <f t="shared" si="7"/>
        <v>17554</v>
      </c>
      <c r="N49" s="883">
        <v>0</v>
      </c>
      <c r="O49" s="883">
        <v>16554</v>
      </c>
      <c r="P49" s="883">
        <v>0</v>
      </c>
      <c r="Q49" s="883">
        <v>1000</v>
      </c>
      <c r="R49" s="883">
        <v>0</v>
      </c>
      <c r="U49" s="880"/>
    </row>
    <row r="50" spans="1:21" x14ac:dyDescent="0.2">
      <c r="A50" s="309">
        <v>40</v>
      </c>
      <c r="B50" s="219" t="s">
        <v>171</v>
      </c>
      <c r="C50" s="220" t="s">
        <v>172</v>
      </c>
      <c r="D50" s="881">
        <f t="shared" si="3"/>
        <v>286538</v>
      </c>
      <c r="E50" s="881">
        <f t="shared" si="6"/>
        <v>33937</v>
      </c>
      <c r="F50" s="881">
        <v>9975</v>
      </c>
      <c r="G50" s="881">
        <v>23962</v>
      </c>
      <c r="H50" s="881">
        <f t="shared" si="4"/>
        <v>40129</v>
      </c>
      <c r="I50" s="881">
        <v>39776</v>
      </c>
      <c r="J50" s="881">
        <v>5229</v>
      </c>
      <c r="K50" s="881">
        <v>353</v>
      </c>
      <c r="L50" s="881">
        <v>7727</v>
      </c>
      <c r="M50" s="881">
        <f t="shared" si="7"/>
        <v>212472</v>
      </c>
      <c r="N50" s="883">
        <v>16400</v>
      </c>
      <c r="O50" s="883">
        <v>101184</v>
      </c>
      <c r="P50" s="883">
        <v>10000</v>
      </c>
      <c r="Q50" s="883">
        <v>83611</v>
      </c>
      <c r="R50" s="883">
        <v>1277</v>
      </c>
      <c r="U50" s="880"/>
    </row>
    <row r="51" spans="1:21" x14ac:dyDescent="0.2">
      <c r="A51" s="309">
        <v>41</v>
      </c>
      <c r="B51" s="222" t="s">
        <v>78</v>
      </c>
      <c r="C51" s="220" t="s">
        <v>79</v>
      </c>
      <c r="D51" s="881">
        <f t="shared" si="3"/>
        <v>60229</v>
      </c>
      <c r="E51" s="881">
        <f t="shared" si="6"/>
        <v>7043</v>
      </c>
      <c r="F51" s="881">
        <v>2438</v>
      </c>
      <c r="G51" s="881">
        <v>4605</v>
      </c>
      <c r="H51" s="881">
        <f t="shared" si="4"/>
        <v>9836</v>
      </c>
      <c r="I51" s="881">
        <v>9721</v>
      </c>
      <c r="J51" s="881">
        <v>1278</v>
      </c>
      <c r="K51" s="881">
        <v>115</v>
      </c>
      <c r="L51" s="881">
        <v>1620</v>
      </c>
      <c r="M51" s="881">
        <f t="shared" si="7"/>
        <v>43350</v>
      </c>
      <c r="N51" s="883">
        <v>5831</v>
      </c>
      <c r="O51" s="883">
        <v>21210</v>
      </c>
      <c r="P51" s="883">
        <v>7300</v>
      </c>
      <c r="Q51" s="883">
        <v>9000</v>
      </c>
      <c r="R51" s="883">
        <v>9</v>
      </c>
      <c r="U51" s="880"/>
    </row>
    <row r="52" spans="1:21" x14ac:dyDescent="0.2">
      <c r="A52" s="309">
        <v>42</v>
      </c>
      <c r="B52" s="222" t="s">
        <v>173</v>
      </c>
      <c r="C52" s="220" t="s">
        <v>174</v>
      </c>
      <c r="D52" s="881">
        <f t="shared" si="3"/>
        <v>206378</v>
      </c>
      <c r="E52" s="881">
        <f t="shared" si="6"/>
        <v>24991</v>
      </c>
      <c r="F52" s="881">
        <v>8100</v>
      </c>
      <c r="G52" s="881">
        <v>16891</v>
      </c>
      <c r="H52" s="881">
        <f t="shared" si="4"/>
        <v>32446</v>
      </c>
      <c r="I52" s="881">
        <v>32299</v>
      </c>
      <c r="J52" s="881">
        <v>4246</v>
      </c>
      <c r="K52" s="881">
        <v>147</v>
      </c>
      <c r="L52" s="881">
        <v>5922</v>
      </c>
      <c r="M52" s="881">
        <f t="shared" si="7"/>
        <v>148941</v>
      </c>
      <c r="N52" s="883">
        <v>12376</v>
      </c>
      <c r="O52" s="883">
        <v>73519</v>
      </c>
      <c r="P52" s="883">
        <v>41150</v>
      </c>
      <c r="Q52" s="883">
        <v>20920</v>
      </c>
      <c r="R52" s="883">
        <v>976</v>
      </c>
      <c r="U52" s="880"/>
    </row>
    <row r="53" spans="1:21" x14ac:dyDescent="0.2">
      <c r="A53" s="309">
        <v>43</v>
      </c>
      <c r="B53" s="219" t="s">
        <v>175</v>
      </c>
      <c r="C53" s="220" t="s">
        <v>176</v>
      </c>
      <c r="D53" s="881">
        <f t="shared" si="3"/>
        <v>45097</v>
      </c>
      <c r="E53" s="881">
        <f t="shared" si="6"/>
        <v>5156</v>
      </c>
      <c r="F53" s="881">
        <v>1825</v>
      </c>
      <c r="G53" s="881">
        <v>3331</v>
      </c>
      <c r="H53" s="881">
        <f t="shared" si="4"/>
        <v>7422</v>
      </c>
      <c r="I53" s="881">
        <v>7277</v>
      </c>
      <c r="J53" s="881">
        <v>957</v>
      </c>
      <c r="K53" s="881">
        <v>145</v>
      </c>
      <c r="L53" s="881">
        <v>1158</v>
      </c>
      <c r="M53" s="881">
        <f t="shared" si="7"/>
        <v>32519</v>
      </c>
      <c r="N53" s="883">
        <v>3571</v>
      </c>
      <c r="O53" s="883">
        <v>14437</v>
      </c>
      <c r="P53" s="883">
        <v>3396</v>
      </c>
      <c r="Q53" s="883">
        <v>11110</v>
      </c>
      <c r="R53" s="883">
        <v>5</v>
      </c>
      <c r="U53" s="880"/>
    </row>
    <row r="54" spans="1:21" x14ac:dyDescent="0.2">
      <c r="A54" s="309">
        <v>44</v>
      </c>
      <c r="B54" s="219" t="s">
        <v>42</v>
      </c>
      <c r="C54" s="220" t="s">
        <v>43</v>
      </c>
      <c r="D54" s="881">
        <f t="shared" si="3"/>
        <v>72880</v>
      </c>
      <c r="E54" s="881">
        <f t="shared" si="6"/>
        <v>8583</v>
      </c>
      <c r="F54" s="881">
        <v>2906</v>
      </c>
      <c r="G54" s="881">
        <v>5677</v>
      </c>
      <c r="H54" s="881">
        <f t="shared" si="4"/>
        <v>11701</v>
      </c>
      <c r="I54" s="881">
        <v>11586</v>
      </c>
      <c r="J54" s="881">
        <v>1523</v>
      </c>
      <c r="K54" s="881">
        <v>115</v>
      </c>
      <c r="L54" s="881">
        <v>1975</v>
      </c>
      <c r="M54" s="881">
        <f t="shared" si="7"/>
        <v>52596</v>
      </c>
      <c r="N54" s="883">
        <v>11350</v>
      </c>
      <c r="O54" s="883">
        <v>18956</v>
      </c>
      <c r="P54" s="883">
        <v>7000</v>
      </c>
      <c r="Q54" s="883">
        <v>15279</v>
      </c>
      <c r="R54" s="883">
        <v>11</v>
      </c>
      <c r="U54" s="880"/>
    </row>
    <row r="55" spans="1:21" x14ac:dyDescent="0.2">
      <c r="A55" s="309">
        <v>45</v>
      </c>
      <c r="B55" s="224" t="s">
        <v>177</v>
      </c>
      <c r="C55" s="220" t="s">
        <v>178</v>
      </c>
      <c r="D55" s="881">
        <f t="shared" si="3"/>
        <v>86803</v>
      </c>
      <c r="E55" s="881">
        <f t="shared" si="6"/>
        <v>10570</v>
      </c>
      <c r="F55" s="881">
        <v>3403</v>
      </c>
      <c r="G55" s="881">
        <v>7167</v>
      </c>
      <c r="H55" s="881">
        <f t="shared" si="4"/>
        <v>13681</v>
      </c>
      <c r="I55" s="881">
        <v>13571</v>
      </c>
      <c r="J55" s="881">
        <v>1784</v>
      </c>
      <c r="K55" s="881">
        <v>110</v>
      </c>
      <c r="L55" s="881">
        <v>2421</v>
      </c>
      <c r="M55" s="881">
        <f t="shared" si="7"/>
        <v>62552</v>
      </c>
      <c r="N55" s="883">
        <v>5933</v>
      </c>
      <c r="O55" s="883">
        <v>34167</v>
      </c>
      <c r="P55" s="883">
        <v>0</v>
      </c>
      <c r="Q55" s="883">
        <v>22434</v>
      </c>
      <c r="R55" s="883">
        <v>18</v>
      </c>
      <c r="U55" s="880"/>
    </row>
    <row r="56" spans="1:21" x14ac:dyDescent="0.2">
      <c r="A56" s="309">
        <v>46</v>
      </c>
      <c r="B56" s="219" t="s">
        <v>179</v>
      </c>
      <c r="C56" s="220" t="s">
        <v>180</v>
      </c>
      <c r="D56" s="881">
        <f t="shared" si="3"/>
        <v>28345</v>
      </c>
      <c r="E56" s="881">
        <f t="shared" si="6"/>
        <v>2981</v>
      </c>
      <c r="F56" s="881">
        <v>1193</v>
      </c>
      <c r="G56" s="881">
        <v>1788</v>
      </c>
      <c r="H56" s="881">
        <f t="shared" si="4"/>
        <v>4828</v>
      </c>
      <c r="I56" s="881">
        <v>4758</v>
      </c>
      <c r="J56" s="881">
        <v>626</v>
      </c>
      <c r="K56" s="881">
        <v>70</v>
      </c>
      <c r="L56" s="881">
        <v>732</v>
      </c>
      <c r="M56" s="881">
        <f t="shared" si="7"/>
        <v>20536</v>
      </c>
      <c r="N56" s="883">
        <v>5122</v>
      </c>
      <c r="O56" s="883">
        <v>8211</v>
      </c>
      <c r="P56" s="883">
        <v>2000</v>
      </c>
      <c r="Q56" s="883">
        <v>5200</v>
      </c>
      <c r="R56" s="883">
        <v>3</v>
      </c>
      <c r="U56" s="880"/>
    </row>
    <row r="57" spans="1:21" x14ac:dyDescent="0.2">
      <c r="A57" s="309">
        <v>47</v>
      </c>
      <c r="B57" s="224" t="s">
        <v>181</v>
      </c>
      <c r="C57" s="220" t="s">
        <v>182</v>
      </c>
      <c r="D57" s="881">
        <f t="shared" si="3"/>
        <v>58526</v>
      </c>
      <c r="E57" s="881">
        <f t="shared" si="6"/>
        <v>6939</v>
      </c>
      <c r="F57" s="881">
        <v>2294</v>
      </c>
      <c r="G57" s="881">
        <v>4645</v>
      </c>
      <c r="H57" s="881">
        <f t="shared" si="4"/>
        <v>9168</v>
      </c>
      <c r="I57" s="881">
        <v>9148</v>
      </c>
      <c r="J57" s="881">
        <v>1203</v>
      </c>
      <c r="K57" s="881">
        <v>20</v>
      </c>
      <c r="L57" s="881">
        <v>1470</v>
      </c>
      <c r="M57" s="881">
        <f t="shared" si="7"/>
        <v>42419</v>
      </c>
      <c r="N57" s="883">
        <v>10519</v>
      </c>
      <c r="O57" s="883">
        <v>18087</v>
      </c>
      <c r="P57" s="883">
        <v>4743</v>
      </c>
      <c r="Q57" s="883">
        <v>8071</v>
      </c>
      <c r="R57" s="883">
        <v>999</v>
      </c>
      <c r="U57" s="880"/>
    </row>
    <row r="58" spans="1:21" x14ac:dyDescent="0.2">
      <c r="A58" s="309">
        <v>48</v>
      </c>
      <c r="B58" s="219" t="s">
        <v>183</v>
      </c>
      <c r="C58" s="220" t="s">
        <v>184</v>
      </c>
      <c r="D58" s="881">
        <f t="shared" si="3"/>
        <v>88617</v>
      </c>
      <c r="E58" s="881">
        <f t="shared" si="6"/>
        <v>10482</v>
      </c>
      <c r="F58" s="881">
        <v>3582</v>
      </c>
      <c r="G58" s="881">
        <v>6900</v>
      </c>
      <c r="H58" s="881">
        <f t="shared" si="4"/>
        <v>14351</v>
      </c>
      <c r="I58" s="881">
        <v>14285</v>
      </c>
      <c r="J58" s="881">
        <v>1878</v>
      </c>
      <c r="K58" s="881">
        <v>66</v>
      </c>
      <c r="L58" s="881">
        <v>2498</v>
      </c>
      <c r="M58" s="881">
        <f t="shared" si="7"/>
        <v>63784</v>
      </c>
      <c r="N58" s="883">
        <v>14370</v>
      </c>
      <c r="O58" s="883">
        <v>21805</v>
      </c>
      <c r="P58" s="883">
        <v>6300</v>
      </c>
      <c r="Q58" s="883">
        <v>21300</v>
      </c>
      <c r="R58" s="883">
        <v>9</v>
      </c>
      <c r="U58" s="880"/>
    </row>
    <row r="59" spans="1:21" x14ac:dyDescent="0.2">
      <c r="A59" s="309">
        <v>49</v>
      </c>
      <c r="B59" s="219" t="s">
        <v>185</v>
      </c>
      <c r="C59" s="220" t="s">
        <v>186</v>
      </c>
      <c r="D59" s="881">
        <f t="shared" si="3"/>
        <v>314056</v>
      </c>
      <c r="E59" s="881">
        <f t="shared" si="6"/>
        <v>39416</v>
      </c>
      <c r="F59" s="881">
        <v>11894</v>
      </c>
      <c r="G59" s="881">
        <v>27522</v>
      </c>
      <c r="H59" s="881">
        <f t="shared" si="4"/>
        <v>47885</v>
      </c>
      <c r="I59" s="881">
        <v>47427</v>
      </c>
      <c r="J59" s="881">
        <v>6235</v>
      </c>
      <c r="K59" s="881">
        <v>458</v>
      </c>
      <c r="L59" s="881">
        <v>9045</v>
      </c>
      <c r="M59" s="881">
        <f t="shared" si="7"/>
        <v>226755</v>
      </c>
      <c r="N59" s="883">
        <v>23703</v>
      </c>
      <c r="O59" s="883">
        <v>102540</v>
      </c>
      <c r="P59" s="883">
        <v>23154</v>
      </c>
      <c r="Q59" s="883">
        <v>75762</v>
      </c>
      <c r="R59" s="883">
        <v>1596</v>
      </c>
      <c r="U59" s="880"/>
    </row>
    <row r="60" spans="1:21" x14ac:dyDescent="0.2">
      <c r="A60" s="309">
        <v>50</v>
      </c>
      <c r="B60" s="219" t="s">
        <v>187</v>
      </c>
      <c r="C60" s="220" t="s">
        <v>188</v>
      </c>
      <c r="D60" s="881">
        <f t="shared" si="3"/>
        <v>47302</v>
      </c>
      <c r="E60" s="881">
        <f t="shared" si="6"/>
        <v>5465</v>
      </c>
      <c r="F60" s="881">
        <v>1920</v>
      </c>
      <c r="G60" s="881">
        <v>3545</v>
      </c>
      <c r="H60" s="881">
        <f t="shared" si="4"/>
        <v>7741</v>
      </c>
      <c r="I60" s="881">
        <v>7656</v>
      </c>
      <c r="J60" s="881">
        <v>1006</v>
      </c>
      <c r="K60" s="881">
        <v>85</v>
      </c>
      <c r="L60" s="881">
        <v>1346</v>
      </c>
      <c r="M60" s="881">
        <f t="shared" si="7"/>
        <v>34096</v>
      </c>
      <c r="N60" s="883">
        <v>5320</v>
      </c>
      <c r="O60" s="883">
        <v>11383</v>
      </c>
      <c r="P60" s="883">
        <v>6051</v>
      </c>
      <c r="Q60" s="883">
        <v>11336</v>
      </c>
      <c r="R60" s="883">
        <v>6</v>
      </c>
      <c r="U60" s="880"/>
    </row>
    <row r="61" spans="1:21" x14ac:dyDescent="0.2">
      <c r="A61" s="309">
        <v>51</v>
      </c>
      <c r="B61" s="219" t="s">
        <v>189</v>
      </c>
      <c r="C61" s="220" t="s">
        <v>190</v>
      </c>
      <c r="D61" s="881">
        <f t="shared" si="3"/>
        <v>0</v>
      </c>
      <c r="E61" s="881">
        <f t="shared" si="6"/>
        <v>0</v>
      </c>
      <c r="F61" s="881">
        <v>0</v>
      </c>
      <c r="G61" s="881">
        <v>0</v>
      </c>
      <c r="H61" s="881">
        <f t="shared" si="4"/>
        <v>0</v>
      </c>
      <c r="I61" s="881">
        <v>0</v>
      </c>
      <c r="J61" s="881">
        <v>0</v>
      </c>
      <c r="K61" s="881">
        <v>0</v>
      </c>
      <c r="L61" s="881">
        <v>0</v>
      </c>
      <c r="M61" s="881">
        <f t="shared" si="7"/>
        <v>0</v>
      </c>
      <c r="N61" s="883">
        <v>0</v>
      </c>
      <c r="O61" s="883">
        <v>0</v>
      </c>
      <c r="P61" s="883">
        <v>0</v>
      </c>
      <c r="Q61" s="883">
        <v>0</v>
      </c>
      <c r="R61" s="883">
        <v>0</v>
      </c>
      <c r="U61" s="880"/>
    </row>
    <row r="62" spans="1:21" x14ac:dyDescent="0.2">
      <c r="A62" s="309">
        <v>52</v>
      </c>
      <c r="B62" s="219" t="s">
        <v>191</v>
      </c>
      <c r="C62" s="220" t="s">
        <v>192</v>
      </c>
      <c r="D62" s="881">
        <f t="shared" si="3"/>
        <v>0</v>
      </c>
      <c r="E62" s="881">
        <f t="shared" si="6"/>
        <v>0</v>
      </c>
      <c r="F62" s="881">
        <v>0</v>
      </c>
      <c r="G62" s="881">
        <v>0</v>
      </c>
      <c r="H62" s="881">
        <f t="shared" si="4"/>
        <v>0</v>
      </c>
      <c r="I62" s="881">
        <v>0</v>
      </c>
      <c r="J62" s="881">
        <v>0</v>
      </c>
      <c r="K62" s="881">
        <v>0</v>
      </c>
      <c r="L62" s="881">
        <v>0</v>
      </c>
      <c r="M62" s="881">
        <f t="shared" si="7"/>
        <v>0</v>
      </c>
      <c r="N62" s="883">
        <v>0</v>
      </c>
      <c r="O62" s="883">
        <v>0</v>
      </c>
      <c r="P62" s="883">
        <v>0</v>
      </c>
      <c r="Q62" s="883">
        <v>0</v>
      </c>
      <c r="R62" s="883">
        <v>0</v>
      </c>
      <c r="U62" s="880"/>
    </row>
    <row r="63" spans="1:21" x14ac:dyDescent="0.2">
      <c r="A63" s="309">
        <v>53</v>
      </c>
      <c r="B63" s="219" t="s">
        <v>22</v>
      </c>
      <c r="C63" s="220" t="s">
        <v>23</v>
      </c>
      <c r="D63" s="881">
        <f t="shared" si="3"/>
        <v>185530</v>
      </c>
      <c r="E63" s="881">
        <f t="shared" si="6"/>
        <v>38780</v>
      </c>
      <c r="F63" s="881">
        <v>0</v>
      </c>
      <c r="G63" s="881">
        <v>38780</v>
      </c>
      <c r="H63" s="881">
        <f t="shared" si="4"/>
        <v>350</v>
      </c>
      <c r="I63" s="881">
        <v>0</v>
      </c>
      <c r="J63" s="881">
        <v>0</v>
      </c>
      <c r="K63" s="881">
        <v>350</v>
      </c>
      <c r="L63" s="881">
        <v>0</v>
      </c>
      <c r="M63" s="881">
        <f t="shared" si="7"/>
        <v>146400</v>
      </c>
      <c r="N63" s="883">
        <v>0</v>
      </c>
      <c r="O63" s="883">
        <v>75809</v>
      </c>
      <c r="P63" s="883">
        <v>0</v>
      </c>
      <c r="Q63" s="883">
        <v>70500</v>
      </c>
      <c r="R63" s="883">
        <v>91</v>
      </c>
      <c r="U63" s="880"/>
    </row>
    <row r="64" spans="1:21" x14ac:dyDescent="0.2">
      <c r="A64" s="309">
        <v>54</v>
      </c>
      <c r="B64" s="224" t="s">
        <v>24</v>
      </c>
      <c r="C64" s="220" t="s">
        <v>25</v>
      </c>
      <c r="D64" s="881">
        <f t="shared" si="3"/>
        <v>144564</v>
      </c>
      <c r="E64" s="881">
        <f t="shared" si="6"/>
        <v>30279</v>
      </c>
      <c r="F64" s="881">
        <v>0</v>
      </c>
      <c r="G64" s="881">
        <v>30279</v>
      </c>
      <c r="H64" s="881">
        <f t="shared" si="4"/>
        <v>388</v>
      </c>
      <c r="I64" s="881">
        <v>0</v>
      </c>
      <c r="J64" s="881">
        <v>0</v>
      </c>
      <c r="K64" s="881">
        <v>388</v>
      </c>
      <c r="L64" s="881">
        <v>0</v>
      </c>
      <c r="M64" s="881">
        <f t="shared" si="7"/>
        <v>113897</v>
      </c>
      <c r="N64" s="883">
        <v>0</v>
      </c>
      <c r="O64" s="883">
        <v>65537</v>
      </c>
      <c r="P64" s="883">
        <v>0</v>
      </c>
      <c r="Q64" s="883">
        <v>48267</v>
      </c>
      <c r="R64" s="883">
        <v>93</v>
      </c>
      <c r="U64" s="880"/>
    </row>
    <row r="65" spans="1:21" x14ac:dyDescent="0.2">
      <c r="A65" s="309">
        <v>55</v>
      </c>
      <c r="B65" s="222" t="s">
        <v>193</v>
      </c>
      <c r="C65" s="220" t="s">
        <v>194</v>
      </c>
      <c r="D65" s="881">
        <f t="shared" si="3"/>
        <v>206436</v>
      </c>
      <c r="E65" s="881">
        <f t="shared" si="6"/>
        <v>43332</v>
      </c>
      <c r="F65" s="881">
        <v>0</v>
      </c>
      <c r="G65" s="881">
        <v>43332</v>
      </c>
      <c r="H65" s="881">
        <f t="shared" si="4"/>
        <v>155</v>
      </c>
      <c r="I65" s="881">
        <v>0</v>
      </c>
      <c r="J65" s="881">
        <v>0</v>
      </c>
      <c r="K65" s="881">
        <v>155</v>
      </c>
      <c r="L65" s="881">
        <v>0</v>
      </c>
      <c r="M65" s="881">
        <f t="shared" si="7"/>
        <v>162949</v>
      </c>
      <c r="N65" s="883">
        <v>0</v>
      </c>
      <c r="O65" s="883">
        <v>91786</v>
      </c>
      <c r="P65" s="883">
        <v>800</v>
      </c>
      <c r="Q65" s="883">
        <v>70272</v>
      </c>
      <c r="R65" s="883">
        <v>91</v>
      </c>
      <c r="U65" s="880"/>
    </row>
    <row r="66" spans="1:21" x14ac:dyDescent="0.2">
      <c r="A66" s="309">
        <v>56</v>
      </c>
      <c r="B66" s="224" t="s">
        <v>26</v>
      </c>
      <c r="C66" s="220" t="s">
        <v>27</v>
      </c>
      <c r="D66" s="881">
        <f t="shared" si="3"/>
        <v>271034</v>
      </c>
      <c r="E66" s="881">
        <f t="shared" si="6"/>
        <v>55701</v>
      </c>
      <c r="F66" s="881">
        <v>0</v>
      </c>
      <c r="G66" s="881">
        <v>55701</v>
      </c>
      <c r="H66" s="881">
        <f t="shared" si="4"/>
        <v>265</v>
      </c>
      <c r="I66" s="881">
        <v>0</v>
      </c>
      <c r="J66" s="881">
        <v>0</v>
      </c>
      <c r="K66" s="881">
        <v>265</v>
      </c>
      <c r="L66" s="881">
        <v>0</v>
      </c>
      <c r="M66" s="881">
        <f t="shared" si="7"/>
        <v>215068</v>
      </c>
      <c r="N66" s="883">
        <v>0</v>
      </c>
      <c r="O66" s="883">
        <v>103630</v>
      </c>
      <c r="P66" s="883">
        <v>0</v>
      </c>
      <c r="Q66" s="883">
        <v>111291</v>
      </c>
      <c r="R66" s="883">
        <v>147</v>
      </c>
      <c r="U66" s="880"/>
    </row>
    <row r="67" spans="1:21" x14ac:dyDescent="0.2">
      <c r="A67" s="309">
        <v>57</v>
      </c>
      <c r="B67" s="219" t="s">
        <v>28</v>
      </c>
      <c r="C67" s="220" t="s">
        <v>29</v>
      </c>
      <c r="D67" s="881">
        <f t="shared" si="3"/>
        <v>158827</v>
      </c>
      <c r="E67" s="881">
        <f t="shared" si="6"/>
        <v>33665</v>
      </c>
      <c r="F67" s="881">
        <v>0</v>
      </c>
      <c r="G67" s="881">
        <v>33665</v>
      </c>
      <c r="H67" s="881">
        <f t="shared" si="4"/>
        <v>164</v>
      </c>
      <c r="I67" s="881">
        <v>0</v>
      </c>
      <c r="J67" s="881">
        <v>0</v>
      </c>
      <c r="K67" s="881">
        <v>164</v>
      </c>
      <c r="L67" s="881">
        <v>0</v>
      </c>
      <c r="M67" s="881">
        <f t="shared" si="7"/>
        <v>124998</v>
      </c>
      <c r="N67" s="883">
        <v>0</v>
      </c>
      <c r="O67" s="883">
        <v>77383</v>
      </c>
      <c r="P67" s="883">
        <v>0</v>
      </c>
      <c r="Q67" s="883">
        <v>47575</v>
      </c>
      <c r="R67" s="883">
        <v>40</v>
      </c>
      <c r="U67" s="880"/>
    </row>
    <row r="68" spans="1:21" ht="24" x14ac:dyDescent="0.2">
      <c r="A68" s="309">
        <v>58</v>
      </c>
      <c r="B68" s="222" t="s">
        <v>196</v>
      </c>
      <c r="C68" s="220" t="s">
        <v>197</v>
      </c>
      <c r="D68" s="881">
        <f t="shared" si="3"/>
        <v>35442</v>
      </c>
      <c r="E68" s="881">
        <f t="shared" si="6"/>
        <v>0</v>
      </c>
      <c r="F68" s="881">
        <v>0</v>
      </c>
      <c r="G68" s="881">
        <v>0</v>
      </c>
      <c r="H68" s="881">
        <f t="shared" si="4"/>
        <v>0</v>
      </c>
      <c r="I68" s="881">
        <v>0</v>
      </c>
      <c r="J68" s="881">
        <v>0</v>
      </c>
      <c r="K68" s="881">
        <v>0</v>
      </c>
      <c r="L68" s="881">
        <v>0</v>
      </c>
      <c r="M68" s="881">
        <f t="shared" si="7"/>
        <v>35442</v>
      </c>
      <c r="N68" s="883">
        <v>0</v>
      </c>
      <c r="O68" s="883">
        <v>29442</v>
      </c>
      <c r="P68" s="883">
        <v>6000</v>
      </c>
      <c r="Q68" s="883">
        <v>0</v>
      </c>
      <c r="R68" s="883">
        <v>0</v>
      </c>
      <c r="U68" s="880"/>
    </row>
    <row r="69" spans="1:21" ht="24" x14ac:dyDescent="0.2">
      <c r="A69" s="309">
        <v>59</v>
      </c>
      <c r="B69" s="222" t="s">
        <v>198</v>
      </c>
      <c r="C69" s="220" t="s">
        <v>199</v>
      </c>
      <c r="D69" s="881">
        <f t="shared" si="3"/>
        <v>34287</v>
      </c>
      <c r="E69" s="881">
        <f t="shared" si="6"/>
        <v>0</v>
      </c>
      <c r="F69" s="881">
        <v>0</v>
      </c>
      <c r="G69" s="881">
        <v>0</v>
      </c>
      <c r="H69" s="881">
        <f t="shared" si="4"/>
        <v>0</v>
      </c>
      <c r="I69" s="881">
        <v>0</v>
      </c>
      <c r="J69" s="881">
        <v>0</v>
      </c>
      <c r="K69" s="881">
        <v>0</v>
      </c>
      <c r="L69" s="881">
        <v>0</v>
      </c>
      <c r="M69" s="881">
        <f t="shared" si="7"/>
        <v>34287</v>
      </c>
      <c r="N69" s="883">
        <v>0</v>
      </c>
      <c r="O69" s="883">
        <v>15320</v>
      </c>
      <c r="P69" s="883">
        <v>18967</v>
      </c>
      <c r="Q69" s="883">
        <v>0</v>
      </c>
      <c r="R69" s="883">
        <v>0</v>
      </c>
      <c r="U69" s="880"/>
    </row>
    <row r="70" spans="1:21" x14ac:dyDescent="0.2">
      <c r="A70" s="309">
        <v>60</v>
      </c>
      <c r="B70" s="224" t="s">
        <v>62</v>
      </c>
      <c r="C70" s="220" t="s">
        <v>200</v>
      </c>
      <c r="D70" s="881">
        <f t="shared" si="3"/>
        <v>143533</v>
      </c>
      <c r="E70" s="881">
        <f t="shared" si="6"/>
        <v>10074</v>
      </c>
      <c r="F70" s="881">
        <v>10074</v>
      </c>
      <c r="G70" s="881">
        <v>0</v>
      </c>
      <c r="H70" s="881">
        <f t="shared" si="4"/>
        <v>40170</v>
      </c>
      <c r="I70" s="881">
        <v>40170</v>
      </c>
      <c r="J70" s="881">
        <v>5281</v>
      </c>
      <c r="K70" s="881">
        <v>0</v>
      </c>
      <c r="L70" s="881">
        <v>8348</v>
      </c>
      <c r="M70" s="881">
        <f t="shared" si="7"/>
        <v>93289</v>
      </c>
      <c r="N70" s="883">
        <v>15402</v>
      </c>
      <c r="O70" s="883">
        <v>64991</v>
      </c>
      <c r="P70" s="883">
        <v>0</v>
      </c>
      <c r="Q70" s="883">
        <v>11500</v>
      </c>
      <c r="R70" s="883">
        <v>1396</v>
      </c>
      <c r="U70" s="880"/>
    </row>
    <row r="71" spans="1:21" x14ac:dyDescent="0.2">
      <c r="A71" s="309">
        <v>61</v>
      </c>
      <c r="B71" s="224" t="s">
        <v>64</v>
      </c>
      <c r="C71" s="220" t="s">
        <v>201</v>
      </c>
      <c r="D71" s="881">
        <f t="shared" si="3"/>
        <v>81864</v>
      </c>
      <c r="E71" s="881">
        <f t="shared" si="6"/>
        <v>6166</v>
      </c>
      <c r="F71" s="881">
        <v>6166</v>
      </c>
      <c r="G71" s="881">
        <v>0</v>
      </c>
      <c r="H71" s="881">
        <f t="shared" si="4"/>
        <v>24586</v>
      </c>
      <c r="I71" s="881">
        <v>24586</v>
      </c>
      <c r="J71" s="881">
        <v>3232</v>
      </c>
      <c r="K71" s="881">
        <v>0</v>
      </c>
      <c r="L71" s="881">
        <v>5175</v>
      </c>
      <c r="M71" s="881">
        <f t="shared" si="7"/>
        <v>51112</v>
      </c>
      <c r="N71" s="883">
        <v>20415</v>
      </c>
      <c r="O71" s="883">
        <v>14638</v>
      </c>
      <c r="P71" s="883">
        <v>0</v>
      </c>
      <c r="Q71" s="883">
        <v>15275</v>
      </c>
      <c r="R71" s="883">
        <v>784</v>
      </c>
      <c r="U71" s="880"/>
    </row>
    <row r="72" spans="1:21" x14ac:dyDescent="0.2">
      <c r="A72" s="309">
        <v>62</v>
      </c>
      <c r="B72" s="224" t="s">
        <v>66</v>
      </c>
      <c r="C72" s="220" t="s">
        <v>202</v>
      </c>
      <c r="D72" s="881">
        <f t="shared" si="3"/>
        <v>188488</v>
      </c>
      <c r="E72" s="881">
        <f t="shared" si="6"/>
        <v>13621</v>
      </c>
      <c r="F72" s="881">
        <v>13621</v>
      </c>
      <c r="G72" s="881">
        <v>0</v>
      </c>
      <c r="H72" s="881">
        <f t="shared" si="4"/>
        <v>54316</v>
      </c>
      <c r="I72" s="881">
        <v>54316</v>
      </c>
      <c r="J72" s="881">
        <v>7141</v>
      </c>
      <c r="K72" s="881">
        <v>0</v>
      </c>
      <c r="L72" s="881">
        <v>10905</v>
      </c>
      <c r="M72" s="881">
        <f t="shared" si="7"/>
        <v>120551</v>
      </c>
      <c r="N72" s="883">
        <v>60904</v>
      </c>
      <c r="O72" s="883">
        <v>46344</v>
      </c>
      <c r="P72" s="883">
        <v>0</v>
      </c>
      <c r="Q72" s="883">
        <v>11844</v>
      </c>
      <c r="R72" s="883">
        <v>1459</v>
      </c>
      <c r="U72" s="880"/>
    </row>
    <row r="73" spans="1:21" ht="24" x14ac:dyDescent="0.2">
      <c r="A73" s="309">
        <v>63</v>
      </c>
      <c r="B73" s="224" t="s">
        <v>203</v>
      </c>
      <c r="C73" s="220" t="s">
        <v>204</v>
      </c>
      <c r="D73" s="881">
        <f t="shared" si="3"/>
        <v>2496</v>
      </c>
      <c r="E73" s="881">
        <f t="shared" si="6"/>
        <v>0</v>
      </c>
      <c r="F73" s="881">
        <v>0</v>
      </c>
      <c r="G73" s="881">
        <v>0</v>
      </c>
      <c r="H73" s="881">
        <f t="shared" si="4"/>
        <v>0</v>
      </c>
      <c r="I73" s="881">
        <v>0</v>
      </c>
      <c r="J73" s="881">
        <v>0</v>
      </c>
      <c r="K73" s="881">
        <v>0</v>
      </c>
      <c r="L73" s="881">
        <v>0</v>
      </c>
      <c r="M73" s="881">
        <f t="shared" si="7"/>
        <v>2496</v>
      </c>
      <c r="N73" s="883">
        <v>7</v>
      </c>
      <c r="O73" s="883">
        <v>1989</v>
      </c>
      <c r="P73" s="883">
        <v>200</v>
      </c>
      <c r="Q73" s="883">
        <v>300</v>
      </c>
      <c r="R73" s="883">
        <v>0</v>
      </c>
      <c r="U73" s="880"/>
    </row>
    <row r="74" spans="1:21" ht="24" x14ac:dyDescent="0.2">
      <c r="A74" s="309">
        <v>64</v>
      </c>
      <c r="B74" s="222" t="s">
        <v>205</v>
      </c>
      <c r="C74" s="220" t="s">
        <v>206</v>
      </c>
      <c r="D74" s="881">
        <f t="shared" ref="D74:D137" si="8">E74+H74+M74</f>
        <v>3082</v>
      </c>
      <c r="E74" s="881">
        <f t="shared" si="6"/>
        <v>0</v>
      </c>
      <c r="F74" s="881">
        <v>0</v>
      </c>
      <c r="G74" s="881">
        <v>0</v>
      </c>
      <c r="H74" s="881">
        <f t="shared" ref="H74:H137" si="9">I74+K74</f>
        <v>0</v>
      </c>
      <c r="I74" s="881">
        <v>0</v>
      </c>
      <c r="J74" s="881">
        <v>0</v>
      </c>
      <c r="K74" s="881">
        <v>0</v>
      </c>
      <c r="L74" s="881">
        <v>0</v>
      </c>
      <c r="M74" s="881">
        <f t="shared" si="7"/>
        <v>3082</v>
      </c>
      <c r="N74" s="883">
        <v>0</v>
      </c>
      <c r="O74" s="883">
        <v>2942</v>
      </c>
      <c r="P74" s="883">
        <v>40</v>
      </c>
      <c r="Q74" s="883">
        <v>100</v>
      </c>
      <c r="R74" s="883">
        <v>0</v>
      </c>
      <c r="U74" s="880"/>
    </row>
    <row r="75" spans="1:21" ht="24" x14ac:dyDescent="0.2">
      <c r="A75" s="309">
        <v>65</v>
      </c>
      <c r="B75" s="224" t="s">
        <v>207</v>
      </c>
      <c r="C75" s="220" t="s">
        <v>208</v>
      </c>
      <c r="D75" s="881">
        <f t="shared" si="8"/>
        <v>3616</v>
      </c>
      <c r="E75" s="881">
        <f t="shared" si="6"/>
        <v>0</v>
      </c>
      <c r="F75" s="881">
        <v>0</v>
      </c>
      <c r="G75" s="881">
        <v>0</v>
      </c>
      <c r="H75" s="881">
        <f t="shared" si="9"/>
        <v>0</v>
      </c>
      <c r="I75" s="881">
        <v>0</v>
      </c>
      <c r="J75" s="881">
        <v>0</v>
      </c>
      <c r="K75" s="881">
        <v>0</v>
      </c>
      <c r="L75" s="881">
        <v>0</v>
      </c>
      <c r="M75" s="881">
        <f t="shared" si="7"/>
        <v>3616</v>
      </c>
      <c r="N75" s="883">
        <v>13</v>
      </c>
      <c r="O75" s="883">
        <v>3503</v>
      </c>
      <c r="P75" s="883">
        <v>50</v>
      </c>
      <c r="Q75" s="883">
        <v>50</v>
      </c>
      <c r="R75" s="883">
        <v>0</v>
      </c>
      <c r="U75" s="880"/>
    </row>
    <row r="76" spans="1:21" ht="24" x14ac:dyDescent="0.2">
      <c r="A76" s="309">
        <v>66</v>
      </c>
      <c r="B76" s="224" t="s">
        <v>209</v>
      </c>
      <c r="C76" s="220" t="s">
        <v>210</v>
      </c>
      <c r="D76" s="881">
        <f t="shared" si="8"/>
        <v>3460</v>
      </c>
      <c r="E76" s="881">
        <f t="shared" si="6"/>
        <v>0</v>
      </c>
      <c r="F76" s="881">
        <v>0</v>
      </c>
      <c r="G76" s="881">
        <v>0</v>
      </c>
      <c r="H76" s="881">
        <f t="shared" si="9"/>
        <v>0</v>
      </c>
      <c r="I76" s="881">
        <v>0</v>
      </c>
      <c r="J76" s="881">
        <v>0</v>
      </c>
      <c r="K76" s="881">
        <v>0</v>
      </c>
      <c r="L76" s="881">
        <v>0</v>
      </c>
      <c r="M76" s="881">
        <f t="shared" si="7"/>
        <v>3460</v>
      </c>
      <c r="N76" s="883">
        <v>571</v>
      </c>
      <c r="O76" s="883">
        <v>2599</v>
      </c>
      <c r="P76" s="883">
        <v>0</v>
      </c>
      <c r="Q76" s="883">
        <v>290</v>
      </c>
      <c r="R76" s="883">
        <v>0</v>
      </c>
      <c r="U76" s="880"/>
    </row>
    <row r="77" spans="1:21" ht="24" x14ac:dyDescent="0.2">
      <c r="A77" s="309">
        <v>67</v>
      </c>
      <c r="B77" s="222" t="s">
        <v>211</v>
      </c>
      <c r="C77" s="220" t="s">
        <v>212</v>
      </c>
      <c r="D77" s="881">
        <f t="shared" si="8"/>
        <v>18691</v>
      </c>
      <c r="E77" s="881">
        <f t="shared" si="6"/>
        <v>0</v>
      </c>
      <c r="F77" s="881">
        <v>0</v>
      </c>
      <c r="G77" s="881">
        <v>0</v>
      </c>
      <c r="H77" s="881">
        <f t="shared" si="9"/>
        <v>0</v>
      </c>
      <c r="I77" s="881">
        <v>0</v>
      </c>
      <c r="J77" s="881">
        <v>0</v>
      </c>
      <c r="K77" s="881">
        <v>0</v>
      </c>
      <c r="L77" s="881">
        <v>0</v>
      </c>
      <c r="M77" s="881">
        <f t="shared" si="7"/>
        <v>18691</v>
      </c>
      <c r="N77" s="883">
        <v>0</v>
      </c>
      <c r="O77" s="883">
        <v>14541</v>
      </c>
      <c r="P77" s="883">
        <v>2550</v>
      </c>
      <c r="Q77" s="883">
        <v>1600</v>
      </c>
      <c r="R77" s="883">
        <v>0</v>
      </c>
      <c r="U77" s="880"/>
    </row>
    <row r="78" spans="1:21" ht="24" x14ac:dyDescent="0.2">
      <c r="A78" s="309">
        <v>68</v>
      </c>
      <c r="B78" s="222" t="s">
        <v>213</v>
      </c>
      <c r="C78" s="220" t="s">
        <v>214</v>
      </c>
      <c r="D78" s="881">
        <f t="shared" si="8"/>
        <v>2724</v>
      </c>
      <c r="E78" s="881">
        <f t="shared" si="6"/>
        <v>0</v>
      </c>
      <c r="F78" s="881">
        <v>0</v>
      </c>
      <c r="G78" s="881">
        <v>0</v>
      </c>
      <c r="H78" s="881">
        <f t="shared" si="9"/>
        <v>0</v>
      </c>
      <c r="I78" s="881">
        <v>0</v>
      </c>
      <c r="J78" s="881">
        <v>0</v>
      </c>
      <c r="K78" s="881">
        <v>0</v>
      </c>
      <c r="L78" s="881">
        <v>0</v>
      </c>
      <c r="M78" s="881">
        <f t="shared" si="7"/>
        <v>2724</v>
      </c>
      <c r="N78" s="883">
        <v>6</v>
      </c>
      <c r="O78" s="883">
        <v>2414</v>
      </c>
      <c r="P78" s="883">
        <v>160</v>
      </c>
      <c r="Q78" s="883">
        <v>144</v>
      </c>
      <c r="R78" s="883">
        <v>0</v>
      </c>
      <c r="U78" s="880"/>
    </row>
    <row r="79" spans="1:21" ht="24" x14ac:dyDescent="0.2">
      <c r="A79" s="309">
        <v>69</v>
      </c>
      <c r="B79" s="222" t="s">
        <v>215</v>
      </c>
      <c r="C79" s="220" t="s">
        <v>216</v>
      </c>
      <c r="D79" s="881">
        <f t="shared" si="8"/>
        <v>2717</v>
      </c>
      <c r="E79" s="881">
        <f t="shared" si="6"/>
        <v>0</v>
      </c>
      <c r="F79" s="881">
        <v>0</v>
      </c>
      <c r="G79" s="881">
        <v>0</v>
      </c>
      <c r="H79" s="881">
        <f t="shared" si="9"/>
        <v>0</v>
      </c>
      <c r="I79" s="881">
        <v>0</v>
      </c>
      <c r="J79" s="881">
        <v>0</v>
      </c>
      <c r="K79" s="881">
        <v>0</v>
      </c>
      <c r="L79" s="881">
        <v>0</v>
      </c>
      <c r="M79" s="881">
        <f t="shared" si="7"/>
        <v>2717</v>
      </c>
      <c r="N79" s="883">
        <v>0</v>
      </c>
      <c r="O79" s="883">
        <v>2593</v>
      </c>
      <c r="P79" s="883">
        <v>124</v>
      </c>
      <c r="Q79" s="883">
        <v>0</v>
      </c>
      <c r="R79" s="883">
        <v>0</v>
      </c>
      <c r="U79" s="880"/>
    </row>
    <row r="80" spans="1:21" x14ac:dyDescent="0.2">
      <c r="A80" s="309">
        <v>70</v>
      </c>
      <c r="B80" s="219" t="s">
        <v>217</v>
      </c>
      <c r="C80" s="220" t="s">
        <v>218</v>
      </c>
      <c r="D80" s="881">
        <f t="shared" si="8"/>
        <v>232690</v>
      </c>
      <c r="E80" s="881">
        <f t="shared" si="6"/>
        <v>31816</v>
      </c>
      <c r="F80" s="881">
        <v>7576</v>
      </c>
      <c r="G80" s="881">
        <v>24240</v>
      </c>
      <c r="H80" s="881">
        <f t="shared" si="9"/>
        <v>30364</v>
      </c>
      <c r="I80" s="881">
        <v>30210</v>
      </c>
      <c r="J80" s="881">
        <v>3972</v>
      </c>
      <c r="K80" s="881">
        <v>154</v>
      </c>
      <c r="L80" s="881">
        <v>6641</v>
      </c>
      <c r="M80" s="881">
        <f t="shared" si="7"/>
        <v>170510</v>
      </c>
      <c r="N80" s="883">
        <v>19376</v>
      </c>
      <c r="O80" s="883">
        <v>76552</v>
      </c>
      <c r="P80" s="883">
        <v>6000</v>
      </c>
      <c r="Q80" s="883">
        <v>67437</v>
      </c>
      <c r="R80" s="883">
        <v>1145</v>
      </c>
      <c r="U80" s="880"/>
    </row>
    <row r="81" spans="1:21" x14ac:dyDescent="0.2">
      <c r="A81" s="309">
        <v>71</v>
      </c>
      <c r="B81" s="222" t="s">
        <v>50</v>
      </c>
      <c r="C81" s="220" t="s">
        <v>219</v>
      </c>
      <c r="D81" s="881">
        <f t="shared" si="8"/>
        <v>278113</v>
      </c>
      <c r="E81" s="881">
        <f t="shared" si="6"/>
        <v>22212</v>
      </c>
      <c r="F81" s="881">
        <v>18392</v>
      </c>
      <c r="G81" s="881">
        <v>3820</v>
      </c>
      <c r="H81" s="881">
        <f t="shared" si="9"/>
        <v>73337</v>
      </c>
      <c r="I81" s="881">
        <v>73337</v>
      </c>
      <c r="J81" s="881">
        <v>9642</v>
      </c>
      <c r="K81" s="881">
        <v>0</v>
      </c>
      <c r="L81" s="881">
        <v>15875</v>
      </c>
      <c r="M81" s="881">
        <f t="shared" si="7"/>
        <v>182564</v>
      </c>
      <c r="N81" s="883">
        <v>38080</v>
      </c>
      <c r="O81" s="883">
        <v>98884</v>
      </c>
      <c r="P81" s="883">
        <v>4000</v>
      </c>
      <c r="Q81" s="883">
        <v>40000</v>
      </c>
      <c r="R81" s="883">
        <v>1600</v>
      </c>
      <c r="U81" s="880"/>
    </row>
    <row r="82" spans="1:21" x14ac:dyDescent="0.2">
      <c r="A82" s="309">
        <v>72</v>
      </c>
      <c r="B82" s="219" t="s">
        <v>52</v>
      </c>
      <c r="C82" s="220" t="s">
        <v>220</v>
      </c>
      <c r="D82" s="881">
        <f t="shared" si="8"/>
        <v>148113</v>
      </c>
      <c r="E82" s="881">
        <f t="shared" ref="E82:E145" si="10">F82+G82</f>
        <v>10674</v>
      </c>
      <c r="F82" s="881">
        <v>10674</v>
      </c>
      <c r="G82" s="881">
        <v>0</v>
      </c>
      <c r="H82" s="881">
        <f t="shared" si="9"/>
        <v>43135</v>
      </c>
      <c r="I82" s="881">
        <v>43135</v>
      </c>
      <c r="J82" s="881">
        <v>5595</v>
      </c>
      <c r="K82" s="881">
        <v>0</v>
      </c>
      <c r="L82" s="881">
        <v>8940</v>
      </c>
      <c r="M82" s="881">
        <f t="shared" si="7"/>
        <v>94304</v>
      </c>
      <c r="N82" s="883">
        <v>25300</v>
      </c>
      <c r="O82" s="883">
        <v>37217</v>
      </c>
      <c r="P82" s="883">
        <v>6000</v>
      </c>
      <c r="Q82" s="883">
        <v>24320</v>
      </c>
      <c r="R82" s="883">
        <v>1467</v>
      </c>
      <c r="U82" s="880"/>
    </row>
    <row r="83" spans="1:21" x14ac:dyDescent="0.2">
      <c r="A83" s="309">
        <v>73</v>
      </c>
      <c r="B83" s="222" t="s">
        <v>44</v>
      </c>
      <c r="C83" s="220" t="s">
        <v>221</v>
      </c>
      <c r="D83" s="881">
        <f t="shared" si="8"/>
        <v>91292</v>
      </c>
      <c r="E83" s="881">
        <f t="shared" si="10"/>
        <v>6671</v>
      </c>
      <c r="F83" s="881">
        <v>6671</v>
      </c>
      <c r="G83" s="881">
        <v>0</v>
      </c>
      <c r="H83" s="881">
        <f t="shared" si="9"/>
        <v>26599</v>
      </c>
      <c r="I83" s="881">
        <v>26599</v>
      </c>
      <c r="J83" s="881">
        <v>3497</v>
      </c>
      <c r="K83" s="881">
        <v>0</v>
      </c>
      <c r="L83" s="881">
        <v>5675</v>
      </c>
      <c r="M83" s="881">
        <f t="shared" si="7"/>
        <v>58022</v>
      </c>
      <c r="N83" s="883">
        <v>6681</v>
      </c>
      <c r="O83" s="883">
        <v>45341</v>
      </c>
      <c r="P83" s="883">
        <v>1000</v>
      </c>
      <c r="Q83" s="883">
        <v>5000</v>
      </c>
      <c r="R83" s="883">
        <v>0</v>
      </c>
      <c r="U83" s="880"/>
    </row>
    <row r="84" spans="1:21" x14ac:dyDescent="0.2">
      <c r="A84" s="309">
        <v>74</v>
      </c>
      <c r="B84" s="222" t="s">
        <v>54</v>
      </c>
      <c r="C84" s="220" t="s">
        <v>222</v>
      </c>
      <c r="D84" s="881">
        <f t="shared" si="8"/>
        <v>268476</v>
      </c>
      <c r="E84" s="881">
        <f t="shared" si="10"/>
        <v>17704</v>
      </c>
      <c r="F84" s="881">
        <v>17704</v>
      </c>
      <c r="G84" s="881">
        <v>0</v>
      </c>
      <c r="H84" s="881">
        <f t="shared" si="9"/>
        <v>70596</v>
      </c>
      <c r="I84" s="881">
        <v>70596</v>
      </c>
      <c r="J84" s="881">
        <v>9281</v>
      </c>
      <c r="K84" s="881">
        <v>0</v>
      </c>
      <c r="L84" s="881">
        <v>14466</v>
      </c>
      <c r="M84" s="881">
        <f t="shared" si="7"/>
        <v>180176</v>
      </c>
      <c r="N84" s="883">
        <v>46969</v>
      </c>
      <c r="O84" s="883">
        <v>89795</v>
      </c>
      <c r="P84" s="883">
        <v>2000</v>
      </c>
      <c r="Q84" s="883">
        <v>39700</v>
      </c>
      <c r="R84" s="883">
        <v>1712</v>
      </c>
      <c r="U84" s="880"/>
    </row>
    <row r="85" spans="1:21" x14ac:dyDescent="0.2">
      <c r="A85" s="309">
        <v>75</v>
      </c>
      <c r="B85" s="222" t="s">
        <v>36</v>
      </c>
      <c r="C85" s="220" t="s">
        <v>37</v>
      </c>
      <c r="D85" s="881">
        <f t="shared" si="8"/>
        <v>158478</v>
      </c>
      <c r="E85" s="881">
        <f t="shared" si="10"/>
        <v>31670</v>
      </c>
      <c r="F85" s="881">
        <v>0</v>
      </c>
      <c r="G85" s="881">
        <v>31670</v>
      </c>
      <c r="H85" s="881">
        <f t="shared" si="9"/>
        <v>300</v>
      </c>
      <c r="I85" s="881">
        <v>0</v>
      </c>
      <c r="J85" s="881">
        <v>0</v>
      </c>
      <c r="K85" s="881">
        <v>300</v>
      </c>
      <c r="L85" s="881">
        <v>0</v>
      </c>
      <c r="M85" s="881">
        <f t="shared" si="7"/>
        <v>126508</v>
      </c>
      <c r="N85" s="883">
        <v>0</v>
      </c>
      <c r="O85" s="883">
        <v>67621</v>
      </c>
      <c r="P85" s="883">
        <v>0</v>
      </c>
      <c r="Q85" s="883">
        <v>58837</v>
      </c>
      <c r="R85" s="883">
        <v>50</v>
      </c>
      <c r="U85" s="880"/>
    </row>
    <row r="86" spans="1:21" x14ac:dyDescent="0.2">
      <c r="A86" s="309">
        <v>76</v>
      </c>
      <c r="B86" s="222" t="s">
        <v>48</v>
      </c>
      <c r="C86" s="220" t="s">
        <v>223</v>
      </c>
      <c r="D86" s="881">
        <f t="shared" si="8"/>
        <v>218633</v>
      </c>
      <c r="E86" s="881">
        <f t="shared" si="10"/>
        <v>14355</v>
      </c>
      <c r="F86" s="881">
        <v>14355</v>
      </c>
      <c r="G86" s="881">
        <v>0</v>
      </c>
      <c r="H86" s="881">
        <f t="shared" si="9"/>
        <v>57241</v>
      </c>
      <c r="I86" s="881">
        <v>57241</v>
      </c>
      <c r="J86" s="881">
        <v>7525</v>
      </c>
      <c r="K86" s="881">
        <v>0</v>
      </c>
      <c r="L86" s="881">
        <v>12097</v>
      </c>
      <c r="M86" s="881">
        <f t="shared" si="7"/>
        <v>147037</v>
      </c>
      <c r="N86" s="883">
        <v>42357</v>
      </c>
      <c r="O86" s="883">
        <v>39935</v>
      </c>
      <c r="P86" s="883">
        <v>1500</v>
      </c>
      <c r="Q86" s="883">
        <v>61440</v>
      </c>
      <c r="R86" s="883">
        <v>1805</v>
      </c>
      <c r="U86" s="880"/>
    </row>
    <row r="87" spans="1:21" x14ac:dyDescent="0.2">
      <c r="A87" s="309">
        <v>77</v>
      </c>
      <c r="B87" s="222" t="s">
        <v>224</v>
      </c>
      <c r="C87" s="220" t="s">
        <v>225</v>
      </c>
      <c r="D87" s="881">
        <f t="shared" si="8"/>
        <v>45283</v>
      </c>
      <c r="E87" s="881">
        <f t="shared" si="10"/>
        <v>0</v>
      </c>
      <c r="F87" s="881">
        <v>0</v>
      </c>
      <c r="G87" s="881">
        <v>0</v>
      </c>
      <c r="H87" s="881">
        <f t="shared" si="9"/>
        <v>0</v>
      </c>
      <c r="I87" s="881">
        <v>0</v>
      </c>
      <c r="J87" s="881">
        <v>0</v>
      </c>
      <c r="K87" s="881">
        <v>0</v>
      </c>
      <c r="L87" s="881">
        <v>0</v>
      </c>
      <c r="M87" s="881">
        <f t="shared" si="7"/>
        <v>45283</v>
      </c>
      <c r="N87" s="883">
        <v>300</v>
      </c>
      <c r="O87" s="883">
        <v>14500</v>
      </c>
      <c r="P87" s="883">
        <v>0</v>
      </c>
      <c r="Q87" s="883">
        <v>30483</v>
      </c>
      <c r="R87" s="883">
        <v>0</v>
      </c>
      <c r="U87" s="880"/>
    </row>
    <row r="88" spans="1:21" x14ac:dyDescent="0.2">
      <c r="A88" s="309">
        <v>78</v>
      </c>
      <c r="B88" s="224" t="s">
        <v>226</v>
      </c>
      <c r="C88" s="220" t="s">
        <v>227</v>
      </c>
      <c r="D88" s="881">
        <f t="shared" si="8"/>
        <v>0</v>
      </c>
      <c r="E88" s="881">
        <f t="shared" si="10"/>
        <v>0</v>
      </c>
      <c r="F88" s="881">
        <v>0</v>
      </c>
      <c r="G88" s="881">
        <v>0</v>
      </c>
      <c r="H88" s="881">
        <f t="shared" si="9"/>
        <v>0</v>
      </c>
      <c r="I88" s="881">
        <v>0</v>
      </c>
      <c r="J88" s="881">
        <v>0</v>
      </c>
      <c r="K88" s="881">
        <v>0</v>
      </c>
      <c r="L88" s="881">
        <v>0</v>
      </c>
      <c r="M88" s="881">
        <f t="shared" si="7"/>
        <v>0</v>
      </c>
      <c r="N88" s="883">
        <v>0</v>
      </c>
      <c r="O88" s="883">
        <v>0</v>
      </c>
      <c r="P88" s="883">
        <v>0</v>
      </c>
      <c r="Q88" s="883">
        <v>0</v>
      </c>
      <c r="R88" s="883">
        <v>0</v>
      </c>
      <c r="U88" s="880"/>
    </row>
    <row r="89" spans="1:21" ht="24" x14ac:dyDescent="0.2">
      <c r="A89" s="1008">
        <v>79</v>
      </c>
      <c r="B89" s="1011" t="s">
        <v>228</v>
      </c>
      <c r="C89" s="314" t="s">
        <v>229</v>
      </c>
      <c r="D89" s="881">
        <f t="shared" si="8"/>
        <v>28549</v>
      </c>
      <c r="E89" s="881">
        <f t="shared" si="10"/>
        <v>796</v>
      </c>
      <c r="F89" s="881">
        <v>796</v>
      </c>
      <c r="G89" s="881">
        <v>0</v>
      </c>
      <c r="H89" s="881">
        <f t="shared" si="9"/>
        <v>2600</v>
      </c>
      <c r="I89" s="881">
        <v>2600</v>
      </c>
      <c r="J89" s="881">
        <v>417</v>
      </c>
      <c r="K89" s="881">
        <v>0</v>
      </c>
      <c r="L89" s="881">
        <v>945</v>
      </c>
      <c r="M89" s="881">
        <f t="shared" si="7"/>
        <v>25153</v>
      </c>
      <c r="N89" s="883">
        <v>163</v>
      </c>
      <c r="O89" s="883">
        <v>22990</v>
      </c>
      <c r="P89" s="883">
        <v>0</v>
      </c>
      <c r="Q89" s="883">
        <v>2000</v>
      </c>
      <c r="R89" s="883">
        <v>0</v>
      </c>
      <c r="U89" s="880"/>
    </row>
    <row r="90" spans="1:21" ht="36" x14ac:dyDescent="0.2">
      <c r="A90" s="1009"/>
      <c r="B90" s="1012"/>
      <c r="C90" s="220" t="s">
        <v>230</v>
      </c>
      <c r="D90" s="881">
        <f t="shared" si="8"/>
        <v>16949</v>
      </c>
      <c r="E90" s="881">
        <f t="shared" si="10"/>
        <v>796</v>
      </c>
      <c r="F90" s="881">
        <v>796</v>
      </c>
      <c r="G90" s="881">
        <v>0</v>
      </c>
      <c r="H90" s="881">
        <f t="shared" si="9"/>
        <v>2600</v>
      </c>
      <c r="I90" s="881">
        <v>2600</v>
      </c>
      <c r="J90" s="881">
        <v>417</v>
      </c>
      <c r="K90" s="881">
        <v>0</v>
      </c>
      <c r="L90" s="881">
        <v>945</v>
      </c>
      <c r="M90" s="881">
        <f t="shared" si="7"/>
        <v>13553</v>
      </c>
      <c r="N90" s="883">
        <v>163</v>
      </c>
      <c r="O90" s="883">
        <v>11390</v>
      </c>
      <c r="P90" s="883">
        <v>0</v>
      </c>
      <c r="Q90" s="883">
        <v>2000</v>
      </c>
      <c r="R90" s="883">
        <v>0</v>
      </c>
      <c r="U90" s="880"/>
    </row>
    <row r="91" spans="1:21" ht="24" x14ac:dyDescent="0.2">
      <c r="A91" s="1009"/>
      <c r="B91" s="1012"/>
      <c r="C91" s="220" t="s">
        <v>231</v>
      </c>
      <c r="D91" s="881">
        <f t="shared" si="8"/>
        <v>3600</v>
      </c>
      <c r="E91" s="881">
        <f t="shared" si="10"/>
        <v>0</v>
      </c>
      <c r="F91" s="881">
        <v>0</v>
      </c>
      <c r="G91" s="881">
        <v>0</v>
      </c>
      <c r="H91" s="881">
        <f t="shared" si="9"/>
        <v>0</v>
      </c>
      <c r="I91" s="881">
        <v>0</v>
      </c>
      <c r="J91" s="881">
        <v>0</v>
      </c>
      <c r="K91" s="881">
        <v>0</v>
      </c>
      <c r="L91" s="881">
        <v>0</v>
      </c>
      <c r="M91" s="881">
        <f t="shared" si="7"/>
        <v>3600</v>
      </c>
      <c r="N91" s="883">
        <v>0</v>
      </c>
      <c r="O91" s="883">
        <v>3600</v>
      </c>
      <c r="P91" s="883">
        <v>0</v>
      </c>
      <c r="Q91" s="883">
        <v>0</v>
      </c>
      <c r="R91" s="883">
        <v>0</v>
      </c>
      <c r="U91" s="880"/>
    </row>
    <row r="92" spans="1:21" ht="36" x14ac:dyDescent="0.2">
      <c r="A92" s="1010"/>
      <c r="B92" s="1013"/>
      <c r="C92" s="315" t="s">
        <v>232</v>
      </c>
      <c r="D92" s="881">
        <f t="shared" si="8"/>
        <v>8000</v>
      </c>
      <c r="E92" s="881">
        <f t="shared" si="10"/>
        <v>0</v>
      </c>
      <c r="F92" s="881">
        <v>0</v>
      </c>
      <c r="G92" s="881">
        <v>0</v>
      </c>
      <c r="H92" s="881">
        <f t="shared" si="9"/>
        <v>0</v>
      </c>
      <c r="I92" s="881">
        <v>0</v>
      </c>
      <c r="J92" s="881">
        <v>0</v>
      </c>
      <c r="K92" s="881">
        <v>0</v>
      </c>
      <c r="L92" s="881">
        <v>0</v>
      </c>
      <c r="M92" s="881">
        <f t="shared" si="7"/>
        <v>8000</v>
      </c>
      <c r="N92" s="883">
        <v>0</v>
      </c>
      <c r="O92" s="883">
        <v>8000</v>
      </c>
      <c r="P92" s="883">
        <v>0</v>
      </c>
      <c r="Q92" s="883">
        <v>0</v>
      </c>
      <c r="R92" s="883">
        <v>0</v>
      </c>
      <c r="U92" s="880"/>
    </row>
    <row r="93" spans="1:21" ht="24" x14ac:dyDescent="0.2">
      <c r="A93" s="309">
        <v>80</v>
      </c>
      <c r="B93" s="224" t="s">
        <v>233</v>
      </c>
      <c r="C93" s="220" t="s">
        <v>234</v>
      </c>
      <c r="D93" s="881">
        <f t="shared" si="8"/>
        <v>8400</v>
      </c>
      <c r="E93" s="881">
        <f t="shared" si="10"/>
        <v>0</v>
      </c>
      <c r="F93" s="881">
        <v>0</v>
      </c>
      <c r="G93" s="881">
        <v>0</v>
      </c>
      <c r="H93" s="881">
        <f t="shared" si="9"/>
        <v>0</v>
      </c>
      <c r="I93" s="881">
        <v>0</v>
      </c>
      <c r="J93" s="881">
        <v>0</v>
      </c>
      <c r="K93" s="881">
        <v>0</v>
      </c>
      <c r="L93" s="881">
        <v>0</v>
      </c>
      <c r="M93" s="881">
        <f t="shared" si="7"/>
        <v>8400</v>
      </c>
      <c r="N93" s="883">
        <v>0</v>
      </c>
      <c r="O93" s="883">
        <v>8400</v>
      </c>
      <c r="P93" s="883">
        <v>0</v>
      </c>
      <c r="Q93" s="883">
        <v>0</v>
      </c>
      <c r="R93" s="883">
        <v>0</v>
      </c>
      <c r="U93" s="880"/>
    </row>
    <row r="94" spans="1:21" x14ac:dyDescent="0.2">
      <c r="A94" s="309">
        <v>81</v>
      </c>
      <c r="B94" s="224" t="s">
        <v>235</v>
      </c>
      <c r="C94" s="220" t="s">
        <v>236</v>
      </c>
      <c r="D94" s="881">
        <f t="shared" si="8"/>
        <v>14079</v>
      </c>
      <c r="E94" s="881">
        <f t="shared" si="10"/>
        <v>640</v>
      </c>
      <c r="F94" s="881">
        <v>640</v>
      </c>
      <c r="G94" s="881">
        <v>0</v>
      </c>
      <c r="H94" s="881">
        <f t="shared" si="9"/>
        <v>2551</v>
      </c>
      <c r="I94" s="881">
        <v>2551</v>
      </c>
      <c r="J94" s="881">
        <v>335</v>
      </c>
      <c r="K94" s="881">
        <v>0</v>
      </c>
      <c r="L94" s="881">
        <v>434</v>
      </c>
      <c r="M94" s="881">
        <f t="shared" si="7"/>
        <v>10888</v>
      </c>
      <c r="N94" s="883">
        <v>0</v>
      </c>
      <c r="O94" s="883">
        <v>7310</v>
      </c>
      <c r="P94" s="883">
        <v>0</v>
      </c>
      <c r="Q94" s="883">
        <v>3578</v>
      </c>
      <c r="R94" s="883">
        <v>0</v>
      </c>
      <c r="U94" s="880"/>
    </row>
    <row r="95" spans="1:21" x14ac:dyDescent="0.2">
      <c r="A95" s="309">
        <v>82</v>
      </c>
      <c r="B95" s="219" t="s">
        <v>74</v>
      </c>
      <c r="C95" s="220" t="s">
        <v>237</v>
      </c>
      <c r="D95" s="881">
        <f t="shared" si="8"/>
        <v>53735</v>
      </c>
      <c r="E95" s="881">
        <f t="shared" si="10"/>
        <v>3743</v>
      </c>
      <c r="F95" s="881">
        <v>3743</v>
      </c>
      <c r="G95" s="881">
        <v>0</v>
      </c>
      <c r="H95" s="881">
        <f t="shared" si="9"/>
        <v>14926</v>
      </c>
      <c r="I95" s="881">
        <v>14926</v>
      </c>
      <c r="J95" s="881">
        <v>1963</v>
      </c>
      <c r="K95" s="881">
        <v>0</v>
      </c>
      <c r="L95" s="881">
        <v>3048</v>
      </c>
      <c r="M95" s="881">
        <f t="shared" si="7"/>
        <v>35066</v>
      </c>
      <c r="N95" s="883">
        <v>9275</v>
      </c>
      <c r="O95" s="883">
        <v>18591</v>
      </c>
      <c r="P95" s="883">
        <v>2200</v>
      </c>
      <c r="Q95" s="883">
        <v>5000</v>
      </c>
      <c r="R95" s="883">
        <v>0</v>
      </c>
      <c r="U95" s="880"/>
    </row>
    <row r="96" spans="1:21" x14ac:dyDescent="0.2">
      <c r="A96" s="309">
        <v>83</v>
      </c>
      <c r="B96" s="224" t="s">
        <v>38</v>
      </c>
      <c r="C96" s="220" t="s">
        <v>39</v>
      </c>
      <c r="D96" s="881">
        <f t="shared" si="8"/>
        <v>40108</v>
      </c>
      <c r="E96" s="881">
        <f t="shared" si="10"/>
        <v>4915</v>
      </c>
      <c r="F96" s="881">
        <v>1582</v>
      </c>
      <c r="G96" s="881">
        <v>3333</v>
      </c>
      <c r="H96" s="881">
        <f t="shared" si="9"/>
        <v>6357</v>
      </c>
      <c r="I96" s="881">
        <v>6307</v>
      </c>
      <c r="J96" s="881">
        <v>829</v>
      </c>
      <c r="K96" s="881">
        <v>50</v>
      </c>
      <c r="L96" s="881">
        <v>1100</v>
      </c>
      <c r="M96" s="881">
        <f t="shared" si="7"/>
        <v>28836</v>
      </c>
      <c r="N96" s="883">
        <v>3474</v>
      </c>
      <c r="O96" s="883">
        <v>16254</v>
      </c>
      <c r="P96" s="883">
        <v>200</v>
      </c>
      <c r="Q96" s="883">
        <v>8900</v>
      </c>
      <c r="R96" s="883">
        <v>8</v>
      </c>
      <c r="U96" s="880"/>
    </row>
    <row r="97" spans="1:21" x14ac:dyDescent="0.2">
      <c r="A97" s="309">
        <v>84</v>
      </c>
      <c r="B97" s="219" t="s">
        <v>40</v>
      </c>
      <c r="C97" s="220" t="s">
        <v>41</v>
      </c>
      <c r="D97" s="881">
        <f t="shared" si="8"/>
        <v>40986</v>
      </c>
      <c r="E97" s="881">
        <f t="shared" si="10"/>
        <v>5286</v>
      </c>
      <c r="F97" s="881">
        <v>1605</v>
      </c>
      <c r="G97" s="881">
        <v>3681</v>
      </c>
      <c r="H97" s="881">
        <f t="shared" si="9"/>
        <v>6410</v>
      </c>
      <c r="I97" s="881">
        <v>6398</v>
      </c>
      <c r="J97" s="881">
        <v>841</v>
      </c>
      <c r="K97" s="881">
        <v>12</v>
      </c>
      <c r="L97" s="881">
        <v>1143</v>
      </c>
      <c r="M97" s="881">
        <f t="shared" si="7"/>
        <v>29290</v>
      </c>
      <c r="N97" s="883">
        <v>3559</v>
      </c>
      <c r="O97" s="883">
        <v>13024</v>
      </c>
      <c r="P97" s="883">
        <v>3140</v>
      </c>
      <c r="Q97" s="883">
        <v>9563</v>
      </c>
      <c r="R97" s="883">
        <v>4</v>
      </c>
      <c r="U97" s="880"/>
    </row>
    <row r="98" spans="1:21" x14ac:dyDescent="0.2">
      <c r="A98" s="309">
        <v>85</v>
      </c>
      <c r="B98" s="219" t="s">
        <v>238</v>
      </c>
      <c r="C98" s="220" t="s">
        <v>239</v>
      </c>
      <c r="D98" s="881">
        <f t="shared" si="8"/>
        <v>117353</v>
      </c>
      <c r="E98" s="881">
        <f t="shared" si="10"/>
        <v>15275</v>
      </c>
      <c r="F98" s="881">
        <v>4446</v>
      </c>
      <c r="G98" s="881">
        <v>10829</v>
      </c>
      <c r="H98" s="881">
        <f t="shared" si="9"/>
        <v>17908</v>
      </c>
      <c r="I98" s="881">
        <v>17727</v>
      </c>
      <c r="J98" s="881">
        <v>2331</v>
      </c>
      <c r="K98" s="881">
        <v>181</v>
      </c>
      <c r="L98" s="881">
        <v>3630</v>
      </c>
      <c r="M98" s="881">
        <f t="shared" si="7"/>
        <v>84170</v>
      </c>
      <c r="N98" s="883">
        <v>9815</v>
      </c>
      <c r="O98" s="883">
        <v>38838</v>
      </c>
      <c r="P98" s="883">
        <v>8000</v>
      </c>
      <c r="Q98" s="883">
        <v>26750</v>
      </c>
      <c r="R98" s="883">
        <v>767</v>
      </c>
      <c r="U98" s="880"/>
    </row>
    <row r="99" spans="1:21" x14ac:dyDescent="0.2">
      <c r="A99" s="309">
        <v>86</v>
      </c>
      <c r="B99" s="224" t="s">
        <v>240</v>
      </c>
      <c r="C99" s="220" t="s">
        <v>241</v>
      </c>
      <c r="D99" s="881">
        <f t="shared" si="8"/>
        <v>50259</v>
      </c>
      <c r="E99" s="881">
        <f t="shared" si="10"/>
        <v>6138</v>
      </c>
      <c r="F99" s="881">
        <v>1933</v>
      </c>
      <c r="G99" s="881">
        <v>4205</v>
      </c>
      <c r="H99" s="881">
        <f t="shared" si="9"/>
        <v>7755</v>
      </c>
      <c r="I99" s="881">
        <v>7710</v>
      </c>
      <c r="J99" s="881">
        <v>1014</v>
      </c>
      <c r="K99" s="881">
        <v>45</v>
      </c>
      <c r="L99" s="881">
        <v>1349</v>
      </c>
      <c r="M99" s="881">
        <f t="shared" si="7"/>
        <v>36366</v>
      </c>
      <c r="N99" s="883">
        <v>4625</v>
      </c>
      <c r="O99" s="883">
        <v>14648</v>
      </c>
      <c r="P99" s="883">
        <v>6650</v>
      </c>
      <c r="Q99" s="883">
        <v>10440</v>
      </c>
      <c r="R99" s="883">
        <v>3</v>
      </c>
      <c r="U99" s="880"/>
    </row>
    <row r="100" spans="1:21" x14ac:dyDescent="0.2">
      <c r="A100" s="309">
        <v>87</v>
      </c>
      <c r="B100" s="224" t="s">
        <v>88</v>
      </c>
      <c r="C100" s="220" t="s">
        <v>89</v>
      </c>
      <c r="D100" s="881">
        <f t="shared" si="8"/>
        <v>61054</v>
      </c>
      <c r="E100" s="881">
        <f t="shared" si="10"/>
        <v>6799</v>
      </c>
      <c r="F100" s="881">
        <v>2472</v>
      </c>
      <c r="G100" s="881">
        <v>4327</v>
      </c>
      <c r="H100" s="881">
        <f t="shared" si="9"/>
        <v>9913</v>
      </c>
      <c r="I100" s="881">
        <v>9857</v>
      </c>
      <c r="J100" s="881">
        <v>1296</v>
      </c>
      <c r="K100" s="881">
        <v>56</v>
      </c>
      <c r="L100" s="881">
        <v>1625</v>
      </c>
      <c r="M100" s="881">
        <f t="shared" si="7"/>
        <v>44342</v>
      </c>
      <c r="N100" s="883">
        <v>10134</v>
      </c>
      <c r="O100" s="883">
        <v>21547</v>
      </c>
      <c r="P100" s="883">
        <v>300</v>
      </c>
      <c r="Q100" s="883">
        <v>11540</v>
      </c>
      <c r="R100" s="883">
        <v>821</v>
      </c>
      <c r="U100" s="880"/>
    </row>
    <row r="101" spans="1:21" x14ac:dyDescent="0.2">
      <c r="A101" s="309">
        <v>88</v>
      </c>
      <c r="B101" s="222" t="s">
        <v>242</v>
      </c>
      <c r="C101" s="220" t="s">
        <v>243</v>
      </c>
      <c r="D101" s="881">
        <f t="shared" si="8"/>
        <v>144435</v>
      </c>
      <c r="E101" s="881">
        <f t="shared" si="10"/>
        <v>20529</v>
      </c>
      <c r="F101" s="881">
        <v>5189</v>
      </c>
      <c r="G101" s="881">
        <v>15340</v>
      </c>
      <c r="H101" s="881">
        <f t="shared" si="9"/>
        <v>20936</v>
      </c>
      <c r="I101" s="881">
        <v>20691</v>
      </c>
      <c r="J101" s="881">
        <v>2720</v>
      </c>
      <c r="K101" s="881">
        <v>245</v>
      </c>
      <c r="L101" s="881">
        <v>4230</v>
      </c>
      <c r="M101" s="881">
        <f t="shared" si="7"/>
        <v>102970</v>
      </c>
      <c r="N101" s="883">
        <v>6649</v>
      </c>
      <c r="O101" s="883">
        <v>53260</v>
      </c>
      <c r="P101" s="883">
        <v>2600</v>
      </c>
      <c r="Q101" s="883">
        <v>39600</v>
      </c>
      <c r="R101" s="883">
        <v>861</v>
      </c>
      <c r="U101" s="880"/>
    </row>
    <row r="102" spans="1:21" x14ac:dyDescent="0.2">
      <c r="A102" s="309">
        <v>89</v>
      </c>
      <c r="B102" s="222" t="s">
        <v>244</v>
      </c>
      <c r="C102" s="220" t="s">
        <v>245</v>
      </c>
      <c r="D102" s="881">
        <f t="shared" si="8"/>
        <v>108013</v>
      </c>
      <c r="E102" s="881">
        <f t="shared" si="10"/>
        <v>13858</v>
      </c>
      <c r="F102" s="881">
        <v>4174</v>
      </c>
      <c r="G102" s="881">
        <v>9684</v>
      </c>
      <c r="H102" s="881">
        <f t="shared" si="9"/>
        <v>16750</v>
      </c>
      <c r="I102" s="881">
        <v>16644</v>
      </c>
      <c r="J102" s="881">
        <v>2188</v>
      </c>
      <c r="K102" s="881">
        <v>106</v>
      </c>
      <c r="L102" s="881">
        <v>3094</v>
      </c>
      <c r="M102" s="881">
        <f t="shared" si="7"/>
        <v>77405</v>
      </c>
      <c r="N102" s="883">
        <v>2460</v>
      </c>
      <c r="O102" s="883">
        <v>32242</v>
      </c>
      <c r="P102" s="883">
        <v>6820</v>
      </c>
      <c r="Q102" s="883">
        <v>35034</v>
      </c>
      <c r="R102" s="883">
        <v>849</v>
      </c>
      <c r="U102" s="880"/>
    </row>
    <row r="103" spans="1:21" x14ac:dyDescent="0.2">
      <c r="A103" s="309">
        <v>90</v>
      </c>
      <c r="B103" s="219" t="s">
        <v>246</v>
      </c>
      <c r="C103" s="220" t="s">
        <v>247</v>
      </c>
      <c r="D103" s="881">
        <f t="shared" si="8"/>
        <v>37418</v>
      </c>
      <c r="E103" s="881">
        <f t="shared" si="10"/>
        <v>4714</v>
      </c>
      <c r="F103" s="881">
        <v>1459</v>
      </c>
      <c r="G103" s="881">
        <v>3255</v>
      </c>
      <c r="H103" s="881">
        <f t="shared" si="9"/>
        <v>5910</v>
      </c>
      <c r="I103" s="881">
        <v>5818</v>
      </c>
      <c r="J103" s="881">
        <v>765</v>
      </c>
      <c r="K103" s="881">
        <v>92</v>
      </c>
      <c r="L103" s="881">
        <v>1015</v>
      </c>
      <c r="M103" s="881">
        <f t="shared" si="7"/>
        <v>26794</v>
      </c>
      <c r="N103" s="883">
        <v>2070</v>
      </c>
      <c r="O103" s="883">
        <v>11140</v>
      </c>
      <c r="P103" s="883">
        <v>3200</v>
      </c>
      <c r="Q103" s="883">
        <v>9740</v>
      </c>
      <c r="R103" s="883">
        <v>644</v>
      </c>
      <c r="U103" s="880"/>
    </row>
    <row r="104" spans="1:21" x14ac:dyDescent="0.2">
      <c r="A104" s="309">
        <v>91</v>
      </c>
      <c r="B104" s="222" t="s">
        <v>248</v>
      </c>
      <c r="C104" s="220" t="s">
        <v>249</v>
      </c>
      <c r="D104" s="881">
        <f t="shared" si="8"/>
        <v>58594</v>
      </c>
      <c r="E104" s="881">
        <f t="shared" si="10"/>
        <v>7293</v>
      </c>
      <c r="F104" s="881">
        <v>2300</v>
      </c>
      <c r="G104" s="881">
        <v>4993</v>
      </c>
      <c r="H104" s="881">
        <f t="shared" si="9"/>
        <v>9217</v>
      </c>
      <c r="I104" s="881">
        <v>9170</v>
      </c>
      <c r="J104" s="881">
        <v>1206</v>
      </c>
      <c r="K104" s="881">
        <v>47</v>
      </c>
      <c r="L104" s="881">
        <v>1563</v>
      </c>
      <c r="M104" s="881">
        <f t="shared" ref="M104:M148" si="11">SUM(N104:R104)</f>
        <v>42084</v>
      </c>
      <c r="N104" s="883">
        <v>7112</v>
      </c>
      <c r="O104" s="883">
        <v>14930</v>
      </c>
      <c r="P104" s="883">
        <v>6500</v>
      </c>
      <c r="Q104" s="883">
        <v>13534</v>
      </c>
      <c r="R104" s="883">
        <v>8</v>
      </c>
      <c r="U104" s="880"/>
    </row>
    <row r="105" spans="1:21" x14ac:dyDescent="0.2">
      <c r="A105" s="309">
        <v>92</v>
      </c>
      <c r="B105" s="222" t="s">
        <v>250</v>
      </c>
      <c r="C105" s="220" t="s">
        <v>251</v>
      </c>
      <c r="D105" s="881">
        <f t="shared" si="8"/>
        <v>56254</v>
      </c>
      <c r="E105" s="881">
        <f t="shared" si="10"/>
        <v>7352</v>
      </c>
      <c r="F105" s="881">
        <v>2157</v>
      </c>
      <c r="G105" s="881">
        <v>5195</v>
      </c>
      <c r="H105" s="881">
        <f t="shared" si="9"/>
        <v>8665</v>
      </c>
      <c r="I105" s="881">
        <v>8600</v>
      </c>
      <c r="J105" s="881">
        <v>1131</v>
      </c>
      <c r="K105" s="881">
        <v>65</v>
      </c>
      <c r="L105" s="881">
        <v>1576</v>
      </c>
      <c r="M105" s="881">
        <f t="shared" si="11"/>
        <v>40237</v>
      </c>
      <c r="N105" s="883">
        <v>2700</v>
      </c>
      <c r="O105" s="883">
        <v>19033</v>
      </c>
      <c r="P105" s="883">
        <v>8300</v>
      </c>
      <c r="Q105" s="883">
        <v>10200</v>
      </c>
      <c r="R105" s="883">
        <v>4</v>
      </c>
      <c r="U105" s="880"/>
    </row>
    <row r="106" spans="1:21" x14ac:dyDescent="0.2">
      <c r="A106" s="309">
        <v>93</v>
      </c>
      <c r="B106" s="224" t="s">
        <v>32</v>
      </c>
      <c r="C106" s="220" t="s">
        <v>33</v>
      </c>
      <c r="D106" s="881">
        <f t="shared" si="8"/>
        <v>77066</v>
      </c>
      <c r="E106" s="881">
        <f t="shared" si="10"/>
        <v>9237</v>
      </c>
      <c r="F106" s="881">
        <v>2592</v>
      </c>
      <c r="G106" s="881">
        <v>6645</v>
      </c>
      <c r="H106" s="881">
        <f t="shared" si="9"/>
        <v>10415</v>
      </c>
      <c r="I106" s="881">
        <v>10335</v>
      </c>
      <c r="J106" s="881">
        <v>1359</v>
      </c>
      <c r="K106" s="881">
        <v>80</v>
      </c>
      <c r="L106" s="881">
        <v>2004</v>
      </c>
      <c r="M106" s="881">
        <f t="shared" si="11"/>
        <v>57414</v>
      </c>
      <c r="N106" s="883">
        <v>5278</v>
      </c>
      <c r="O106" s="883">
        <v>15340</v>
      </c>
      <c r="P106" s="883">
        <v>11417</v>
      </c>
      <c r="Q106" s="883">
        <v>24664</v>
      </c>
      <c r="R106" s="883">
        <v>715</v>
      </c>
      <c r="U106" s="880"/>
    </row>
    <row r="107" spans="1:21" x14ac:dyDescent="0.2">
      <c r="A107" s="309">
        <v>94</v>
      </c>
      <c r="B107" s="219" t="s">
        <v>252</v>
      </c>
      <c r="C107" s="220" t="s">
        <v>253</v>
      </c>
      <c r="D107" s="881">
        <f t="shared" si="8"/>
        <v>43425</v>
      </c>
      <c r="E107" s="881">
        <f t="shared" si="10"/>
        <v>5605</v>
      </c>
      <c r="F107" s="881">
        <v>1659</v>
      </c>
      <c r="G107" s="881">
        <v>3946</v>
      </c>
      <c r="H107" s="881">
        <f t="shared" si="9"/>
        <v>6696</v>
      </c>
      <c r="I107" s="881">
        <v>6617</v>
      </c>
      <c r="J107" s="881">
        <v>870</v>
      </c>
      <c r="K107" s="881">
        <v>79</v>
      </c>
      <c r="L107" s="881">
        <v>1178</v>
      </c>
      <c r="M107" s="881">
        <f t="shared" si="11"/>
        <v>31124</v>
      </c>
      <c r="N107" s="883">
        <v>4937</v>
      </c>
      <c r="O107" s="883">
        <v>12301</v>
      </c>
      <c r="P107" s="883">
        <v>3558</v>
      </c>
      <c r="Q107" s="883">
        <v>10316</v>
      </c>
      <c r="R107" s="883">
        <v>12</v>
      </c>
      <c r="U107" s="880"/>
    </row>
    <row r="108" spans="1:21" x14ac:dyDescent="0.2">
      <c r="A108" s="309">
        <v>95</v>
      </c>
      <c r="B108" s="219" t="s">
        <v>254</v>
      </c>
      <c r="C108" s="220" t="s">
        <v>255</v>
      </c>
      <c r="D108" s="881">
        <f t="shared" si="8"/>
        <v>63519</v>
      </c>
      <c r="E108" s="881">
        <f t="shared" si="10"/>
        <v>7622</v>
      </c>
      <c r="F108" s="881">
        <v>2544</v>
      </c>
      <c r="G108" s="881">
        <v>5078</v>
      </c>
      <c r="H108" s="881">
        <f t="shared" si="9"/>
        <v>10190</v>
      </c>
      <c r="I108" s="881">
        <v>10143</v>
      </c>
      <c r="J108" s="881">
        <v>1333</v>
      </c>
      <c r="K108" s="881">
        <v>47</v>
      </c>
      <c r="L108" s="881">
        <v>1693</v>
      </c>
      <c r="M108" s="881">
        <f t="shared" si="11"/>
        <v>45707</v>
      </c>
      <c r="N108" s="883">
        <v>7790</v>
      </c>
      <c r="O108" s="883">
        <v>18522</v>
      </c>
      <c r="P108" s="883">
        <v>7146</v>
      </c>
      <c r="Q108" s="883">
        <v>11286</v>
      </c>
      <c r="R108" s="883">
        <v>963</v>
      </c>
      <c r="U108" s="880"/>
    </row>
    <row r="109" spans="1:21" x14ac:dyDescent="0.2">
      <c r="A109" s="309">
        <v>96</v>
      </c>
      <c r="B109" s="222" t="s">
        <v>256</v>
      </c>
      <c r="C109" s="220" t="s">
        <v>257</v>
      </c>
      <c r="D109" s="881">
        <f t="shared" si="8"/>
        <v>111746</v>
      </c>
      <c r="E109" s="881">
        <f t="shared" si="10"/>
        <v>13831</v>
      </c>
      <c r="F109" s="881">
        <v>4391</v>
      </c>
      <c r="G109" s="881">
        <v>9440</v>
      </c>
      <c r="H109" s="881">
        <f t="shared" si="9"/>
        <v>17586</v>
      </c>
      <c r="I109" s="881">
        <v>17508</v>
      </c>
      <c r="J109" s="881">
        <v>2302</v>
      </c>
      <c r="K109" s="881">
        <v>78</v>
      </c>
      <c r="L109" s="881">
        <v>3223</v>
      </c>
      <c r="M109" s="881">
        <f t="shared" si="11"/>
        <v>80329</v>
      </c>
      <c r="N109" s="883">
        <v>11760</v>
      </c>
      <c r="O109" s="883">
        <v>33918</v>
      </c>
      <c r="P109" s="883">
        <v>8571</v>
      </c>
      <c r="Q109" s="883">
        <v>25359</v>
      </c>
      <c r="R109" s="883">
        <v>721</v>
      </c>
      <c r="U109" s="880"/>
    </row>
    <row r="110" spans="1:21" x14ac:dyDescent="0.2">
      <c r="A110" s="309">
        <v>97</v>
      </c>
      <c r="B110" s="224" t="s">
        <v>76</v>
      </c>
      <c r="C110" s="220" t="s">
        <v>77</v>
      </c>
      <c r="D110" s="881">
        <f t="shared" si="8"/>
        <v>50355</v>
      </c>
      <c r="E110" s="881">
        <f t="shared" si="10"/>
        <v>6163</v>
      </c>
      <c r="F110" s="881">
        <v>2008</v>
      </c>
      <c r="G110" s="881">
        <v>4155</v>
      </c>
      <c r="H110" s="881">
        <f t="shared" si="9"/>
        <v>8059</v>
      </c>
      <c r="I110" s="881">
        <v>8008</v>
      </c>
      <c r="J110" s="881">
        <v>1053</v>
      </c>
      <c r="K110" s="881">
        <v>51</v>
      </c>
      <c r="L110" s="881">
        <v>1453</v>
      </c>
      <c r="M110" s="881">
        <f t="shared" si="11"/>
        <v>36133</v>
      </c>
      <c r="N110" s="883">
        <v>6280</v>
      </c>
      <c r="O110" s="883">
        <v>14842</v>
      </c>
      <c r="P110" s="883">
        <v>9528</v>
      </c>
      <c r="Q110" s="883">
        <v>5473</v>
      </c>
      <c r="R110" s="883">
        <v>10</v>
      </c>
      <c r="U110" s="880"/>
    </row>
    <row r="111" spans="1:21" x14ac:dyDescent="0.2">
      <c r="A111" s="309">
        <v>98</v>
      </c>
      <c r="B111" s="222" t="s">
        <v>258</v>
      </c>
      <c r="C111" s="220" t="s">
        <v>259</v>
      </c>
      <c r="D111" s="881">
        <f t="shared" si="8"/>
        <v>8920</v>
      </c>
      <c r="E111" s="881">
        <f t="shared" si="10"/>
        <v>0</v>
      </c>
      <c r="F111" s="881">
        <v>0</v>
      </c>
      <c r="G111" s="881">
        <v>0</v>
      </c>
      <c r="H111" s="881">
        <f t="shared" si="9"/>
        <v>0</v>
      </c>
      <c r="I111" s="881">
        <v>0</v>
      </c>
      <c r="J111" s="881">
        <v>0</v>
      </c>
      <c r="K111" s="881">
        <v>0</v>
      </c>
      <c r="L111" s="881">
        <v>0</v>
      </c>
      <c r="M111" s="881">
        <f t="shared" si="11"/>
        <v>8920</v>
      </c>
      <c r="N111" s="883">
        <v>892</v>
      </c>
      <c r="O111" s="883">
        <v>8028</v>
      </c>
      <c r="P111" s="883">
        <v>0</v>
      </c>
      <c r="Q111" s="883">
        <v>0</v>
      </c>
      <c r="R111" s="883">
        <v>0</v>
      </c>
      <c r="U111" s="880"/>
    </row>
    <row r="112" spans="1:21" x14ac:dyDescent="0.2">
      <c r="A112" s="309">
        <v>99</v>
      </c>
      <c r="B112" s="222" t="s">
        <v>260</v>
      </c>
      <c r="C112" s="220" t="s">
        <v>261</v>
      </c>
      <c r="D112" s="881">
        <f t="shared" si="8"/>
        <v>0</v>
      </c>
      <c r="E112" s="881">
        <f t="shared" si="10"/>
        <v>0</v>
      </c>
      <c r="F112" s="881">
        <v>0</v>
      </c>
      <c r="G112" s="881">
        <v>0</v>
      </c>
      <c r="H112" s="881">
        <f t="shared" si="9"/>
        <v>0</v>
      </c>
      <c r="I112" s="881">
        <v>0</v>
      </c>
      <c r="J112" s="881">
        <v>0</v>
      </c>
      <c r="K112" s="881">
        <v>0</v>
      </c>
      <c r="L112" s="881">
        <v>0</v>
      </c>
      <c r="M112" s="881">
        <f t="shared" si="11"/>
        <v>0</v>
      </c>
      <c r="N112" s="883">
        <v>0</v>
      </c>
      <c r="O112" s="883">
        <v>0</v>
      </c>
      <c r="P112" s="883">
        <v>0</v>
      </c>
      <c r="Q112" s="883">
        <v>0</v>
      </c>
      <c r="R112" s="883">
        <v>0</v>
      </c>
      <c r="U112" s="880"/>
    </row>
    <row r="113" spans="1:21" x14ac:dyDescent="0.2">
      <c r="A113" s="309">
        <v>100</v>
      </c>
      <c r="B113" s="219" t="s">
        <v>264</v>
      </c>
      <c r="C113" s="220" t="s">
        <v>265</v>
      </c>
      <c r="D113" s="881">
        <f t="shared" si="8"/>
        <v>0</v>
      </c>
      <c r="E113" s="881">
        <f t="shared" si="10"/>
        <v>0</v>
      </c>
      <c r="F113" s="881">
        <v>0</v>
      </c>
      <c r="G113" s="881">
        <v>0</v>
      </c>
      <c r="H113" s="881">
        <f t="shared" si="9"/>
        <v>0</v>
      </c>
      <c r="I113" s="881">
        <v>0</v>
      </c>
      <c r="J113" s="881">
        <v>0</v>
      </c>
      <c r="K113" s="881">
        <v>0</v>
      </c>
      <c r="L113" s="881">
        <v>0</v>
      </c>
      <c r="M113" s="881">
        <f t="shared" si="11"/>
        <v>0</v>
      </c>
      <c r="N113" s="883">
        <v>0</v>
      </c>
      <c r="O113" s="883">
        <v>0</v>
      </c>
      <c r="P113" s="883">
        <v>0</v>
      </c>
      <c r="Q113" s="883">
        <v>0</v>
      </c>
      <c r="R113" s="883">
        <v>0</v>
      </c>
      <c r="U113" s="880"/>
    </row>
    <row r="114" spans="1:21" x14ac:dyDescent="0.2">
      <c r="A114" s="309">
        <v>101</v>
      </c>
      <c r="B114" s="219" t="s">
        <v>266</v>
      </c>
      <c r="C114" s="220" t="s">
        <v>267</v>
      </c>
      <c r="D114" s="881">
        <f t="shared" si="8"/>
        <v>0</v>
      </c>
      <c r="E114" s="881">
        <f t="shared" si="10"/>
        <v>0</v>
      </c>
      <c r="F114" s="881">
        <v>0</v>
      </c>
      <c r="G114" s="881">
        <v>0</v>
      </c>
      <c r="H114" s="881">
        <f t="shared" si="9"/>
        <v>0</v>
      </c>
      <c r="I114" s="881">
        <v>0</v>
      </c>
      <c r="J114" s="881">
        <v>0</v>
      </c>
      <c r="K114" s="881">
        <v>0</v>
      </c>
      <c r="L114" s="881">
        <v>0</v>
      </c>
      <c r="M114" s="881">
        <f t="shared" si="11"/>
        <v>0</v>
      </c>
      <c r="N114" s="883">
        <v>0</v>
      </c>
      <c r="O114" s="883">
        <v>0</v>
      </c>
      <c r="P114" s="883">
        <v>0</v>
      </c>
      <c r="Q114" s="883">
        <v>0</v>
      </c>
      <c r="R114" s="883">
        <v>0</v>
      </c>
      <c r="U114" s="880"/>
    </row>
    <row r="115" spans="1:21" x14ac:dyDescent="0.2">
      <c r="A115" s="309">
        <v>102</v>
      </c>
      <c r="B115" s="219" t="s">
        <v>268</v>
      </c>
      <c r="C115" s="220" t="s">
        <v>269</v>
      </c>
      <c r="D115" s="881">
        <f t="shared" si="8"/>
        <v>0</v>
      </c>
      <c r="E115" s="881">
        <f t="shared" si="10"/>
        <v>0</v>
      </c>
      <c r="F115" s="881">
        <v>0</v>
      </c>
      <c r="G115" s="881">
        <v>0</v>
      </c>
      <c r="H115" s="881">
        <f t="shared" si="9"/>
        <v>0</v>
      </c>
      <c r="I115" s="881">
        <v>0</v>
      </c>
      <c r="J115" s="881">
        <v>0</v>
      </c>
      <c r="K115" s="881">
        <v>0</v>
      </c>
      <c r="L115" s="881">
        <v>0</v>
      </c>
      <c r="M115" s="881">
        <f t="shared" si="11"/>
        <v>0</v>
      </c>
      <c r="N115" s="883">
        <v>0</v>
      </c>
      <c r="O115" s="883">
        <v>0</v>
      </c>
      <c r="P115" s="883">
        <v>0</v>
      </c>
      <c r="Q115" s="883">
        <v>0</v>
      </c>
      <c r="R115" s="883">
        <v>0</v>
      </c>
      <c r="U115" s="880"/>
    </row>
    <row r="116" spans="1:21" x14ac:dyDescent="0.2">
      <c r="A116" s="309">
        <v>103</v>
      </c>
      <c r="B116" s="219" t="s">
        <v>270</v>
      </c>
      <c r="C116" s="220" t="s">
        <v>271</v>
      </c>
      <c r="D116" s="881">
        <f t="shared" si="8"/>
        <v>0</v>
      </c>
      <c r="E116" s="881">
        <f t="shared" si="10"/>
        <v>0</v>
      </c>
      <c r="F116" s="881">
        <v>0</v>
      </c>
      <c r="G116" s="881">
        <v>0</v>
      </c>
      <c r="H116" s="881">
        <f t="shared" si="9"/>
        <v>0</v>
      </c>
      <c r="I116" s="881">
        <v>0</v>
      </c>
      <c r="J116" s="881">
        <v>0</v>
      </c>
      <c r="K116" s="881">
        <v>0</v>
      </c>
      <c r="L116" s="881">
        <v>0</v>
      </c>
      <c r="M116" s="881">
        <f t="shared" si="11"/>
        <v>0</v>
      </c>
      <c r="N116" s="883">
        <v>0</v>
      </c>
      <c r="O116" s="883">
        <v>0</v>
      </c>
      <c r="P116" s="883">
        <v>0</v>
      </c>
      <c r="Q116" s="883">
        <v>0</v>
      </c>
      <c r="R116" s="883">
        <v>0</v>
      </c>
      <c r="U116" s="880"/>
    </row>
    <row r="117" spans="1:21" x14ac:dyDescent="0.2">
      <c r="A117" s="309">
        <v>104</v>
      </c>
      <c r="B117" s="219" t="s">
        <v>272</v>
      </c>
      <c r="C117" s="220" t="s">
        <v>273</v>
      </c>
      <c r="D117" s="881">
        <f t="shared" si="8"/>
        <v>33600</v>
      </c>
      <c r="E117" s="881">
        <f t="shared" si="10"/>
        <v>0</v>
      </c>
      <c r="F117" s="881">
        <v>0</v>
      </c>
      <c r="G117" s="881">
        <v>0</v>
      </c>
      <c r="H117" s="881">
        <f t="shared" si="9"/>
        <v>0</v>
      </c>
      <c r="I117" s="881">
        <v>0</v>
      </c>
      <c r="J117" s="881">
        <v>0</v>
      </c>
      <c r="K117" s="881">
        <v>0</v>
      </c>
      <c r="L117" s="881">
        <v>0</v>
      </c>
      <c r="M117" s="881">
        <f t="shared" si="11"/>
        <v>33600</v>
      </c>
      <c r="N117" s="883">
        <v>3360</v>
      </c>
      <c r="O117" s="883">
        <v>30240</v>
      </c>
      <c r="P117" s="883">
        <v>0</v>
      </c>
      <c r="Q117" s="883">
        <v>0</v>
      </c>
      <c r="R117" s="883">
        <v>0</v>
      </c>
      <c r="U117" s="880"/>
    </row>
    <row r="118" spans="1:21" x14ac:dyDescent="0.2">
      <c r="A118" s="309">
        <v>105</v>
      </c>
      <c r="B118" s="316" t="s">
        <v>274</v>
      </c>
      <c r="C118" s="313" t="s">
        <v>275</v>
      </c>
      <c r="D118" s="881">
        <f t="shared" si="8"/>
        <v>0</v>
      </c>
      <c r="E118" s="881">
        <f t="shared" si="10"/>
        <v>0</v>
      </c>
      <c r="F118" s="881">
        <v>0</v>
      </c>
      <c r="G118" s="881">
        <v>0</v>
      </c>
      <c r="H118" s="881">
        <f t="shared" si="9"/>
        <v>0</v>
      </c>
      <c r="I118" s="881">
        <v>0</v>
      </c>
      <c r="J118" s="881">
        <v>0</v>
      </c>
      <c r="K118" s="881">
        <v>0</v>
      </c>
      <c r="L118" s="881">
        <v>0</v>
      </c>
      <c r="M118" s="881">
        <f t="shared" si="11"/>
        <v>0</v>
      </c>
      <c r="N118" s="883">
        <v>0</v>
      </c>
      <c r="O118" s="883">
        <v>0</v>
      </c>
      <c r="P118" s="883">
        <v>0</v>
      </c>
      <c r="Q118" s="883">
        <v>0</v>
      </c>
      <c r="R118" s="883">
        <v>0</v>
      </c>
      <c r="U118" s="880"/>
    </row>
    <row r="119" spans="1:21" x14ac:dyDescent="0.2">
      <c r="A119" s="309">
        <v>106</v>
      </c>
      <c r="B119" s="224" t="s">
        <v>276</v>
      </c>
      <c r="C119" s="220" t="s">
        <v>277</v>
      </c>
      <c r="D119" s="881">
        <f t="shared" si="8"/>
        <v>0</v>
      </c>
      <c r="E119" s="881">
        <f t="shared" si="10"/>
        <v>0</v>
      </c>
      <c r="F119" s="881">
        <v>0</v>
      </c>
      <c r="G119" s="881">
        <v>0</v>
      </c>
      <c r="H119" s="881">
        <f t="shared" si="9"/>
        <v>0</v>
      </c>
      <c r="I119" s="881">
        <v>0</v>
      </c>
      <c r="J119" s="881">
        <v>0</v>
      </c>
      <c r="K119" s="881">
        <v>0</v>
      </c>
      <c r="L119" s="881">
        <v>0</v>
      </c>
      <c r="M119" s="881">
        <f t="shared" si="11"/>
        <v>0</v>
      </c>
      <c r="N119" s="883">
        <v>0</v>
      </c>
      <c r="O119" s="883">
        <v>0</v>
      </c>
      <c r="P119" s="883">
        <v>0</v>
      </c>
      <c r="Q119" s="883">
        <v>0</v>
      </c>
      <c r="R119" s="883">
        <v>0</v>
      </c>
      <c r="U119" s="880"/>
    </row>
    <row r="120" spans="1:21" x14ac:dyDescent="0.2">
      <c r="A120" s="309">
        <v>107</v>
      </c>
      <c r="B120" s="219" t="s">
        <v>278</v>
      </c>
      <c r="C120" s="220" t="s">
        <v>279</v>
      </c>
      <c r="D120" s="881">
        <f t="shared" si="8"/>
        <v>0</v>
      </c>
      <c r="E120" s="881">
        <f t="shared" si="10"/>
        <v>0</v>
      </c>
      <c r="F120" s="881">
        <v>0</v>
      </c>
      <c r="G120" s="881">
        <v>0</v>
      </c>
      <c r="H120" s="881">
        <f t="shared" si="9"/>
        <v>0</v>
      </c>
      <c r="I120" s="881">
        <v>0</v>
      </c>
      <c r="J120" s="881">
        <v>0</v>
      </c>
      <c r="K120" s="881">
        <v>0</v>
      </c>
      <c r="L120" s="881">
        <v>0</v>
      </c>
      <c r="M120" s="881">
        <f t="shared" si="11"/>
        <v>0</v>
      </c>
      <c r="N120" s="883">
        <v>0</v>
      </c>
      <c r="O120" s="883">
        <v>0</v>
      </c>
      <c r="P120" s="883">
        <v>0</v>
      </c>
      <c r="Q120" s="883">
        <v>0</v>
      </c>
      <c r="R120" s="883">
        <v>0</v>
      </c>
      <c r="U120" s="880"/>
    </row>
    <row r="121" spans="1:21" x14ac:dyDescent="0.2">
      <c r="A121" s="309">
        <v>108</v>
      </c>
      <c r="B121" s="222" t="s">
        <v>280</v>
      </c>
      <c r="C121" s="317" t="s">
        <v>281</v>
      </c>
      <c r="D121" s="881">
        <f t="shared" si="8"/>
        <v>0</v>
      </c>
      <c r="E121" s="881">
        <f t="shared" si="10"/>
        <v>0</v>
      </c>
      <c r="F121" s="881">
        <v>0</v>
      </c>
      <c r="G121" s="881">
        <v>0</v>
      </c>
      <c r="H121" s="881">
        <f t="shared" si="9"/>
        <v>0</v>
      </c>
      <c r="I121" s="881">
        <v>0</v>
      </c>
      <c r="J121" s="881">
        <v>0</v>
      </c>
      <c r="K121" s="881">
        <v>0</v>
      </c>
      <c r="L121" s="881">
        <v>0</v>
      </c>
      <c r="M121" s="881">
        <f t="shared" si="11"/>
        <v>0</v>
      </c>
      <c r="N121" s="883">
        <v>0</v>
      </c>
      <c r="O121" s="883">
        <v>0</v>
      </c>
      <c r="P121" s="883">
        <v>0</v>
      </c>
      <c r="Q121" s="883">
        <v>0</v>
      </c>
      <c r="R121" s="883">
        <v>0</v>
      </c>
      <c r="U121" s="880"/>
    </row>
    <row r="122" spans="1:21" x14ac:dyDescent="0.2">
      <c r="A122" s="309">
        <v>109</v>
      </c>
      <c r="B122" s="219" t="s">
        <v>282</v>
      </c>
      <c r="C122" s="220" t="s">
        <v>283</v>
      </c>
      <c r="D122" s="881">
        <f t="shared" si="8"/>
        <v>0</v>
      </c>
      <c r="E122" s="881">
        <f t="shared" si="10"/>
        <v>0</v>
      </c>
      <c r="F122" s="881">
        <v>0</v>
      </c>
      <c r="G122" s="881">
        <v>0</v>
      </c>
      <c r="H122" s="881">
        <f t="shared" si="9"/>
        <v>0</v>
      </c>
      <c r="I122" s="881">
        <v>0</v>
      </c>
      <c r="J122" s="881">
        <v>0</v>
      </c>
      <c r="K122" s="881">
        <v>0</v>
      </c>
      <c r="L122" s="881">
        <v>0</v>
      </c>
      <c r="M122" s="881">
        <f t="shared" si="11"/>
        <v>0</v>
      </c>
      <c r="N122" s="883">
        <v>0</v>
      </c>
      <c r="O122" s="883">
        <v>0</v>
      </c>
      <c r="P122" s="883">
        <v>0</v>
      </c>
      <c r="Q122" s="883">
        <v>0</v>
      </c>
      <c r="R122" s="883">
        <v>0</v>
      </c>
      <c r="U122" s="880"/>
    </row>
    <row r="123" spans="1:21" x14ac:dyDescent="0.2">
      <c r="A123" s="309">
        <v>110</v>
      </c>
      <c r="B123" s="224" t="s">
        <v>284</v>
      </c>
      <c r="C123" s="220" t="s">
        <v>285</v>
      </c>
      <c r="D123" s="881">
        <f t="shared" si="8"/>
        <v>0</v>
      </c>
      <c r="E123" s="881">
        <f t="shared" si="10"/>
        <v>0</v>
      </c>
      <c r="F123" s="881">
        <v>0</v>
      </c>
      <c r="G123" s="881">
        <v>0</v>
      </c>
      <c r="H123" s="881">
        <f t="shared" si="9"/>
        <v>0</v>
      </c>
      <c r="I123" s="881">
        <v>0</v>
      </c>
      <c r="J123" s="881">
        <v>0</v>
      </c>
      <c r="K123" s="881">
        <v>0</v>
      </c>
      <c r="L123" s="881">
        <v>0</v>
      </c>
      <c r="M123" s="881">
        <f t="shared" si="11"/>
        <v>0</v>
      </c>
      <c r="N123" s="883">
        <v>0</v>
      </c>
      <c r="O123" s="883">
        <v>0</v>
      </c>
      <c r="P123" s="883">
        <v>0</v>
      </c>
      <c r="Q123" s="883">
        <v>0</v>
      </c>
      <c r="R123" s="883">
        <v>0</v>
      </c>
      <c r="U123" s="880"/>
    </row>
    <row r="124" spans="1:21" x14ac:dyDescent="0.2">
      <c r="A124" s="309">
        <v>111</v>
      </c>
      <c r="B124" s="224" t="s">
        <v>780</v>
      </c>
      <c r="C124" s="220" t="s">
        <v>737</v>
      </c>
      <c r="D124" s="881">
        <f t="shared" si="8"/>
        <v>0</v>
      </c>
      <c r="E124" s="881">
        <f t="shared" si="10"/>
        <v>0</v>
      </c>
      <c r="F124" s="883">
        <v>0</v>
      </c>
      <c r="G124" s="883">
        <v>0</v>
      </c>
      <c r="H124" s="881">
        <f t="shared" si="9"/>
        <v>0</v>
      </c>
      <c r="I124" s="883">
        <v>0</v>
      </c>
      <c r="J124" s="883">
        <v>0</v>
      </c>
      <c r="K124" s="883">
        <v>0</v>
      </c>
      <c r="L124" s="883">
        <v>0</v>
      </c>
      <c r="M124" s="881">
        <f t="shared" si="11"/>
        <v>0</v>
      </c>
      <c r="N124" s="883">
        <v>0</v>
      </c>
      <c r="O124" s="883">
        <v>0</v>
      </c>
      <c r="P124" s="883">
        <v>0</v>
      </c>
      <c r="Q124" s="883">
        <v>0</v>
      </c>
      <c r="R124" s="883">
        <v>0</v>
      </c>
      <c r="U124" s="880"/>
    </row>
    <row r="125" spans="1:21" x14ac:dyDescent="0.2">
      <c r="A125" s="309">
        <v>112</v>
      </c>
      <c r="B125" s="224" t="s">
        <v>286</v>
      </c>
      <c r="C125" s="220" t="s">
        <v>287</v>
      </c>
      <c r="D125" s="881">
        <f t="shared" si="8"/>
        <v>0</v>
      </c>
      <c r="E125" s="881">
        <f t="shared" si="10"/>
        <v>0</v>
      </c>
      <c r="F125" s="883">
        <v>0</v>
      </c>
      <c r="G125" s="883">
        <v>0</v>
      </c>
      <c r="H125" s="881">
        <f t="shared" si="9"/>
        <v>0</v>
      </c>
      <c r="I125" s="883">
        <v>0</v>
      </c>
      <c r="J125" s="883">
        <v>0</v>
      </c>
      <c r="K125" s="883">
        <v>0</v>
      </c>
      <c r="L125" s="883">
        <v>0</v>
      </c>
      <c r="M125" s="881">
        <f t="shared" si="11"/>
        <v>0</v>
      </c>
      <c r="N125" s="883">
        <v>0</v>
      </c>
      <c r="O125" s="883">
        <v>0</v>
      </c>
      <c r="P125" s="883">
        <v>0</v>
      </c>
      <c r="Q125" s="883">
        <v>0</v>
      </c>
      <c r="R125" s="883">
        <v>0</v>
      </c>
      <c r="U125" s="880"/>
    </row>
    <row r="126" spans="1:21" x14ac:dyDescent="0.2">
      <c r="A126" s="309">
        <v>113</v>
      </c>
      <c r="B126" s="224" t="s">
        <v>288</v>
      </c>
      <c r="C126" s="220" t="s">
        <v>738</v>
      </c>
      <c r="D126" s="881">
        <f t="shared" si="8"/>
        <v>0</v>
      </c>
      <c r="E126" s="881">
        <f t="shared" si="10"/>
        <v>0</v>
      </c>
      <c r="F126" s="883">
        <v>0</v>
      </c>
      <c r="G126" s="883">
        <v>0</v>
      </c>
      <c r="H126" s="881">
        <f t="shared" si="9"/>
        <v>0</v>
      </c>
      <c r="I126" s="883">
        <v>0</v>
      </c>
      <c r="J126" s="883">
        <v>0</v>
      </c>
      <c r="K126" s="883">
        <v>0</v>
      </c>
      <c r="L126" s="883">
        <v>0</v>
      </c>
      <c r="M126" s="881">
        <f t="shared" si="11"/>
        <v>0</v>
      </c>
      <c r="N126" s="883">
        <v>0</v>
      </c>
      <c r="O126" s="883">
        <v>0</v>
      </c>
      <c r="P126" s="883">
        <v>0</v>
      </c>
      <c r="Q126" s="883">
        <v>0</v>
      </c>
      <c r="R126" s="883">
        <v>0</v>
      </c>
      <c r="U126" s="880"/>
    </row>
    <row r="127" spans="1:21" x14ac:dyDescent="0.2">
      <c r="A127" s="309">
        <v>114</v>
      </c>
      <c r="B127" s="219" t="s">
        <v>290</v>
      </c>
      <c r="C127" s="220" t="s">
        <v>291</v>
      </c>
      <c r="D127" s="881">
        <f t="shared" si="8"/>
        <v>9560</v>
      </c>
      <c r="E127" s="881">
        <f t="shared" si="10"/>
        <v>0</v>
      </c>
      <c r="F127" s="883">
        <v>0</v>
      </c>
      <c r="G127" s="883">
        <v>0</v>
      </c>
      <c r="H127" s="881">
        <f t="shared" si="9"/>
        <v>0</v>
      </c>
      <c r="I127" s="883">
        <v>0</v>
      </c>
      <c r="J127" s="883">
        <v>0</v>
      </c>
      <c r="K127" s="883">
        <v>0</v>
      </c>
      <c r="L127" s="883">
        <v>0</v>
      </c>
      <c r="M127" s="881">
        <f t="shared" si="11"/>
        <v>9560</v>
      </c>
      <c r="N127" s="883">
        <v>992</v>
      </c>
      <c r="O127" s="883">
        <v>8568</v>
      </c>
      <c r="P127" s="883">
        <v>0</v>
      </c>
      <c r="Q127" s="883">
        <v>0</v>
      </c>
      <c r="R127" s="883">
        <v>0</v>
      </c>
      <c r="U127" s="880"/>
    </row>
    <row r="128" spans="1:21" ht="24" x14ac:dyDescent="0.2">
      <c r="A128" s="309">
        <v>115</v>
      </c>
      <c r="B128" s="219" t="s">
        <v>292</v>
      </c>
      <c r="C128" s="311" t="s">
        <v>293</v>
      </c>
      <c r="D128" s="881">
        <f t="shared" si="8"/>
        <v>0</v>
      </c>
      <c r="E128" s="881">
        <f t="shared" si="10"/>
        <v>0</v>
      </c>
      <c r="F128" s="883">
        <v>0</v>
      </c>
      <c r="G128" s="883">
        <v>0</v>
      </c>
      <c r="H128" s="881">
        <f t="shared" si="9"/>
        <v>0</v>
      </c>
      <c r="I128" s="883">
        <v>0</v>
      </c>
      <c r="J128" s="883">
        <v>0</v>
      </c>
      <c r="K128" s="883">
        <v>0</v>
      </c>
      <c r="L128" s="883">
        <v>0</v>
      </c>
      <c r="M128" s="881">
        <f t="shared" si="11"/>
        <v>0</v>
      </c>
      <c r="N128" s="883">
        <v>0</v>
      </c>
      <c r="O128" s="883">
        <v>0</v>
      </c>
      <c r="P128" s="883">
        <v>0</v>
      </c>
      <c r="Q128" s="883">
        <v>0</v>
      </c>
      <c r="R128" s="883">
        <v>0</v>
      </c>
      <c r="U128" s="880"/>
    </row>
    <row r="129" spans="1:21" x14ac:dyDescent="0.2">
      <c r="A129" s="309">
        <v>116</v>
      </c>
      <c r="B129" s="219" t="s">
        <v>294</v>
      </c>
      <c r="C129" s="220" t="s">
        <v>295</v>
      </c>
      <c r="D129" s="881">
        <f t="shared" si="8"/>
        <v>223231</v>
      </c>
      <c r="E129" s="881">
        <f t="shared" si="10"/>
        <v>0</v>
      </c>
      <c r="F129" s="883">
        <v>0</v>
      </c>
      <c r="G129" s="883">
        <v>0</v>
      </c>
      <c r="H129" s="881">
        <f t="shared" si="9"/>
        <v>0</v>
      </c>
      <c r="I129" s="883">
        <v>0</v>
      </c>
      <c r="J129" s="883">
        <v>0</v>
      </c>
      <c r="K129" s="883">
        <v>0</v>
      </c>
      <c r="L129" s="883">
        <v>0</v>
      </c>
      <c r="M129" s="881">
        <f t="shared" si="11"/>
        <v>223231</v>
      </c>
      <c r="N129" s="883">
        <v>0</v>
      </c>
      <c r="O129" s="883">
        <v>223231</v>
      </c>
      <c r="P129" s="883">
        <v>0</v>
      </c>
      <c r="Q129" s="883">
        <v>0</v>
      </c>
      <c r="R129" s="883">
        <v>0</v>
      </c>
      <c r="U129" s="880"/>
    </row>
    <row r="130" spans="1:21" x14ac:dyDescent="0.2">
      <c r="A130" s="309">
        <v>117</v>
      </c>
      <c r="B130" s="219" t="s">
        <v>70</v>
      </c>
      <c r="C130" s="220" t="s">
        <v>296</v>
      </c>
      <c r="D130" s="881">
        <f t="shared" si="8"/>
        <v>150000</v>
      </c>
      <c r="E130" s="881">
        <f t="shared" si="10"/>
        <v>0</v>
      </c>
      <c r="F130" s="883">
        <v>0</v>
      </c>
      <c r="G130" s="883">
        <v>0</v>
      </c>
      <c r="H130" s="881">
        <f t="shared" si="9"/>
        <v>0</v>
      </c>
      <c r="I130" s="883">
        <v>0</v>
      </c>
      <c r="J130" s="883">
        <v>0</v>
      </c>
      <c r="K130" s="883">
        <v>0</v>
      </c>
      <c r="L130" s="883">
        <v>0</v>
      </c>
      <c r="M130" s="881">
        <f t="shared" si="11"/>
        <v>150000</v>
      </c>
      <c r="N130" s="883">
        <v>0</v>
      </c>
      <c r="O130" s="883">
        <v>150000</v>
      </c>
      <c r="P130" s="883">
        <v>0</v>
      </c>
      <c r="Q130" s="883">
        <v>0</v>
      </c>
      <c r="R130" s="883">
        <v>0</v>
      </c>
      <c r="U130" s="880"/>
    </row>
    <row r="131" spans="1:21" x14ac:dyDescent="0.2">
      <c r="A131" s="309">
        <v>118</v>
      </c>
      <c r="B131" s="219" t="s">
        <v>72</v>
      </c>
      <c r="C131" s="220" t="s">
        <v>73</v>
      </c>
      <c r="D131" s="881">
        <f t="shared" si="8"/>
        <v>90000</v>
      </c>
      <c r="E131" s="881">
        <f t="shared" si="10"/>
        <v>0</v>
      </c>
      <c r="F131" s="883">
        <v>0</v>
      </c>
      <c r="G131" s="883">
        <v>0</v>
      </c>
      <c r="H131" s="881">
        <f t="shared" si="9"/>
        <v>0</v>
      </c>
      <c r="I131" s="883">
        <v>0</v>
      </c>
      <c r="J131" s="883">
        <v>0</v>
      </c>
      <c r="K131" s="883">
        <v>0</v>
      </c>
      <c r="L131" s="883">
        <v>0</v>
      </c>
      <c r="M131" s="881">
        <f t="shared" si="11"/>
        <v>90000</v>
      </c>
      <c r="N131" s="883">
        <v>0</v>
      </c>
      <c r="O131" s="883">
        <v>90000</v>
      </c>
      <c r="P131" s="883">
        <v>0</v>
      </c>
      <c r="Q131" s="883">
        <v>0</v>
      </c>
      <c r="R131" s="883">
        <v>0</v>
      </c>
      <c r="U131" s="880"/>
    </row>
    <row r="132" spans="1:21" x14ac:dyDescent="0.2">
      <c r="A132" s="309">
        <v>119</v>
      </c>
      <c r="B132" s="222" t="s">
        <v>34</v>
      </c>
      <c r="C132" s="220" t="s">
        <v>35</v>
      </c>
      <c r="D132" s="881">
        <f t="shared" si="8"/>
        <v>123660</v>
      </c>
      <c r="E132" s="881">
        <f t="shared" si="10"/>
        <v>0</v>
      </c>
      <c r="F132" s="883">
        <v>0</v>
      </c>
      <c r="G132" s="883">
        <v>0</v>
      </c>
      <c r="H132" s="881">
        <f t="shared" si="9"/>
        <v>0</v>
      </c>
      <c r="I132" s="883">
        <v>0</v>
      </c>
      <c r="J132" s="883">
        <v>0</v>
      </c>
      <c r="K132" s="883">
        <v>0</v>
      </c>
      <c r="L132" s="883">
        <v>0</v>
      </c>
      <c r="M132" s="881">
        <f t="shared" si="11"/>
        <v>123660</v>
      </c>
      <c r="N132" s="883">
        <v>0</v>
      </c>
      <c r="O132" s="883">
        <v>123660</v>
      </c>
      <c r="P132" s="883">
        <v>0</v>
      </c>
      <c r="Q132" s="883">
        <v>0</v>
      </c>
      <c r="R132" s="883">
        <v>0</v>
      </c>
      <c r="U132" s="880"/>
    </row>
    <row r="133" spans="1:21" x14ac:dyDescent="0.2">
      <c r="A133" s="309">
        <v>120</v>
      </c>
      <c r="B133" s="222" t="s">
        <v>297</v>
      </c>
      <c r="C133" s="220" t="s">
        <v>298</v>
      </c>
      <c r="D133" s="881">
        <f t="shared" si="8"/>
        <v>87522</v>
      </c>
      <c r="E133" s="881">
        <f t="shared" si="10"/>
        <v>0</v>
      </c>
      <c r="F133" s="883">
        <v>0</v>
      </c>
      <c r="G133" s="883">
        <v>0</v>
      </c>
      <c r="H133" s="881">
        <f t="shared" si="9"/>
        <v>0</v>
      </c>
      <c r="I133" s="883">
        <v>0</v>
      </c>
      <c r="J133" s="883">
        <v>0</v>
      </c>
      <c r="K133" s="883">
        <v>0</v>
      </c>
      <c r="L133" s="883">
        <v>0</v>
      </c>
      <c r="M133" s="881">
        <f t="shared" si="11"/>
        <v>87522</v>
      </c>
      <c r="N133" s="883">
        <v>0</v>
      </c>
      <c r="O133" s="883">
        <v>75722</v>
      </c>
      <c r="P133" s="883">
        <v>0</v>
      </c>
      <c r="Q133" s="883">
        <v>11800</v>
      </c>
      <c r="R133" s="883">
        <v>0</v>
      </c>
      <c r="U133" s="880"/>
    </row>
    <row r="134" spans="1:21" x14ac:dyDescent="0.2">
      <c r="A134" s="309">
        <v>121</v>
      </c>
      <c r="B134" s="222" t="s">
        <v>299</v>
      </c>
      <c r="C134" s="220" t="s">
        <v>300</v>
      </c>
      <c r="D134" s="881">
        <f t="shared" si="8"/>
        <v>52775</v>
      </c>
      <c r="E134" s="881">
        <f t="shared" si="10"/>
        <v>0</v>
      </c>
      <c r="F134" s="883">
        <v>0</v>
      </c>
      <c r="G134" s="883">
        <v>0</v>
      </c>
      <c r="H134" s="881">
        <f t="shared" si="9"/>
        <v>0</v>
      </c>
      <c r="I134" s="883">
        <v>0</v>
      </c>
      <c r="J134" s="883">
        <v>0</v>
      </c>
      <c r="K134" s="883">
        <v>0</v>
      </c>
      <c r="L134" s="883">
        <v>0</v>
      </c>
      <c r="M134" s="881">
        <f t="shared" si="11"/>
        <v>52775</v>
      </c>
      <c r="N134" s="883">
        <v>0</v>
      </c>
      <c r="O134" s="883">
        <v>30645</v>
      </c>
      <c r="P134" s="883">
        <v>0</v>
      </c>
      <c r="Q134" s="883">
        <v>22130</v>
      </c>
      <c r="R134" s="883">
        <v>0</v>
      </c>
      <c r="U134" s="880"/>
    </row>
    <row r="135" spans="1:21" x14ac:dyDescent="0.2">
      <c r="A135" s="309">
        <v>122</v>
      </c>
      <c r="B135" s="219" t="s">
        <v>301</v>
      </c>
      <c r="C135" s="220" t="s">
        <v>302</v>
      </c>
      <c r="D135" s="881">
        <f t="shared" si="8"/>
        <v>90522</v>
      </c>
      <c r="E135" s="881">
        <f t="shared" si="10"/>
        <v>0</v>
      </c>
      <c r="F135" s="883">
        <v>0</v>
      </c>
      <c r="G135" s="883">
        <v>0</v>
      </c>
      <c r="H135" s="881">
        <f t="shared" si="9"/>
        <v>0</v>
      </c>
      <c r="I135" s="883">
        <v>0</v>
      </c>
      <c r="J135" s="883">
        <v>0</v>
      </c>
      <c r="K135" s="883">
        <v>0</v>
      </c>
      <c r="L135" s="883">
        <v>0</v>
      </c>
      <c r="M135" s="881">
        <f t="shared" si="11"/>
        <v>90522</v>
      </c>
      <c r="N135" s="883">
        <v>0</v>
      </c>
      <c r="O135" s="883">
        <v>90522</v>
      </c>
      <c r="P135" s="883">
        <v>0</v>
      </c>
      <c r="Q135" s="883">
        <v>0</v>
      </c>
      <c r="R135" s="883">
        <v>0</v>
      </c>
      <c r="U135" s="880"/>
    </row>
    <row r="136" spans="1:21" x14ac:dyDescent="0.2">
      <c r="A136" s="309">
        <v>123</v>
      </c>
      <c r="B136" s="219" t="s">
        <v>16</v>
      </c>
      <c r="C136" s="220" t="s">
        <v>17</v>
      </c>
      <c r="D136" s="881">
        <f t="shared" si="8"/>
        <v>10162</v>
      </c>
      <c r="E136" s="881">
        <f t="shared" si="10"/>
        <v>0</v>
      </c>
      <c r="F136" s="883">
        <v>0</v>
      </c>
      <c r="G136" s="883">
        <v>0</v>
      </c>
      <c r="H136" s="881">
        <f t="shared" si="9"/>
        <v>0</v>
      </c>
      <c r="I136" s="883">
        <v>0</v>
      </c>
      <c r="J136" s="883">
        <v>0</v>
      </c>
      <c r="K136" s="883">
        <v>0</v>
      </c>
      <c r="L136" s="883">
        <v>0</v>
      </c>
      <c r="M136" s="881">
        <f t="shared" si="11"/>
        <v>10162</v>
      </c>
      <c r="N136" s="883">
        <v>0</v>
      </c>
      <c r="O136" s="883">
        <v>200</v>
      </c>
      <c r="P136" s="883">
        <v>0</v>
      </c>
      <c r="Q136" s="883">
        <v>9962</v>
      </c>
      <c r="R136" s="883">
        <v>0</v>
      </c>
      <c r="U136" s="880"/>
    </row>
    <row r="137" spans="1:21" x14ac:dyDescent="0.2">
      <c r="A137" s="309">
        <v>124</v>
      </c>
      <c r="B137" s="219" t="s">
        <v>68</v>
      </c>
      <c r="C137" s="220" t="s">
        <v>69</v>
      </c>
      <c r="D137" s="881">
        <f t="shared" si="8"/>
        <v>58392</v>
      </c>
      <c r="E137" s="881">
        <f t="shared" si="10"/>
        <v>0</v>
      </c>
      <c r="F137" s="883">
        <v>0</v>
      </c>
      <c r="G137" s="883">
        <v>0</v>
      </c>
      <c r="H137" s="881">
        <f t="shared" si="9"/>
        <v>0</v>
      </c>
      <c r="I137" s="883">
        <v>0</v>
      </c>
      <c r="J137" s="883">
        <v>0</v>
      </c>
      <c r="K137" s="883">
        <v>0</v>
      </c>
      <c r="L137" s="883">
        <v>0</v>
      </c>
      <c r="M137" s="881">
        <f t="shared" si="11"/>
        <v>58392</v>
      </c>
      <c r="N137" s="883">
        <v>0</v>
      </c>
      <c r="O137" s="883">
        <v>58392</v>
      </c>
      <c r="P137" s="883">
        <v>0</v>
      </c>
      <c r="Q137" s="883">
        <v>0</v>
      </c>
      <c r="R137" s="883">
        <v>0</v>
      </c>
      <c r="U137" s="880"/>
    </row>
    <row r="138" spans="1:21" x14ac:dyDescent="0.2">
      <c r="A138" s="309">
        <v>125</v>
      </c>
      <c r="B138" s="222" t="s">
        <v>60</v>
      </c>
      <c r="C138" s="220" t="s">
        <v>303</v>
      </c>
      <c r="D138" s="881">
        <f t="shared" ref="D138:D148" si="12">E138+H138+M138</f>
        <v>90315</v>
      </c>
      <c r="E138" s="881">
        <f t="shared" si="10"/>
        <v>7700</v>
      </c>
      <c r="F138" s="883">
        <v>7700</v>
      </c>
      <c r="G138" s="883">
        <v>0</v>
      </c>
      <c r="H138" s="881">
        <f t="shared" ref="H138:H148" si="13">I138+K138</f>
        <v>30700</v>
      </c>
      <c r="I138" s="883">
        <v>30700</v>
      </c>
      <c r="J138" s="883">
        <v>4036</v>
      </c>
      <c r="K138" s="883">
        <v>0</v>
      </c>
      <c r="L138" s="883">
        <v>6476</v>
      </c>
      <c r="M138" s="881">
        <f t="shared" si="11"/>
        <v>51915</v>
      </c>
      <c r="N138" s="883">
        <v>25853</v>
      </c>
      <c r="O138" s="883">
        <v>19319</v>
      </c>
      <c r="P138" s="883">
        <v>0</v>
      </c>
      <c r="Q138" s="883">
        <v>5800</v>
      </c>
      <c r="R138" s="883">
        <v>943</v>
      </c>
      <c r="U138" s="880"/>
    </row>
    <row r="139" spans="1:21" x14ac:dyDescent="0.2">
      <c r="A139" s="309">
        <v>126</v>
      </c>
      <c r="B139" s="224" t="s">
        <v>56</v>
      </c>
      <c r="C139" s="220" t="s">
        <v>304</v>
      </c>
      <c r="D139" s="881">
        <f t="shared" si="12"/>
        <v>179671</v>
      </c>
      <c r="E139" s="881">
        <f t="shared" si="10"/>
        <v>21031</v>
      </c>
      <c r="F139" s="883">
        <v>8400</v>
      </c>
      <c r="G139" s="883">
        <v>12631</v>
      </c>
      <c r="H139" s="881">
        <f t="shared" si="13"/>
        <v>33552</v>
      </c>
      <c r="I139" s="883">
        <v>33501</v>
      </c>
      <c r="J139" s="883">
        <v>4404</v>
      </c>
      <c r="K139" s="883">
        <v>51</v>
      </c>
      <c r="L139" s="883">
        <v>6958</v>
      </c>
      <c r="M139" s="881">
        <f t="shared" si="11"/>
        <v>125088</v>
      </c>
      <c r="N139" s="883">
        <v>20364</v>
      </c>
      <c r="O139" s="883">
        <v>62825</v>
      </c>
      <c r="P139" s="883">
        <v>3315</v>
      </c>
      <c r="Q139" s="883">
        <v>36861</v>
      </c>
      <c r="R139" s="883">
        <v>1723</v>
      </c>
      <c r="U139" s="880"/>
    </row>
    <row r="140" spans="1:21" x14ac:dyDescent="0.2">
      <c r="A140" s="309">
        <v>127</v>
      </c>
      <c r="B140" s="219" t="s">
        <v>305</v>
      </c>
      <c r="C140" s="220" t="s">
        <v>306</v>
      </c>
      <c r="D140" s="881">
        <f t="shared" si="12"/>
        <v>10638</v>
      </c>
      <c r="E140" s="881">
        <f t="shared" si="10"/>
        <v>0</v>
      </c>
      <c r="F140" s="883">
        <v>0</v>
      </c>
      <c r="G140" s="883">
        <v>0</v>
      </c>
      <c r="H140" s="881">
        <f t="shared" si="13"/>
        <v>0</v>
      </c>
      <c r="I140" s="883">
        <v>0</v>
      </c>
      <c r="J140" s="883">
        <v>0</v>
      </c>
      <c r="K140" s="883">
        <v>0</v>
      </c>
      <c r="L140" s="883">
        <v>0</v>
      </c>
      <c r="M140" s="881">
        <f t="shared" si="11"/>
        <v>10638</v>
      </c>
      <c r="N140" s="883">
        <v>0</v>
      </c>
      <c r="O140" s="883">
        <v>10638</v>
      </c>
      <c r="P140" s="883">
        <v>0</v>
      </c>
      <c r="Q140" s="883">
        <v>0</v>
      </c>
      <c r="R140" s="883">
        <v>0</v>
      </c>
      <c r="U140" s="880"/>
    </row>
    <row r="141" spans="1:21" x14ac:dyDescent="0.2">
      <c r="A141" s="309">
        <v>128</v>
      </c>
      <c r="B141" s="222" t="s">
        <v>307</v>
      </c>
      <c r="C141" s="220" t="s">
        <v>308</v>
      </c>
      <c r="D141" s="881">
        <f t="shared" si="12"/>
        <v>16762</v>
      </c>
      <c r="E141" s="881">
        <f t="shared" si="10"/>
        <v>0</v>
      </c>
      <c r="F141" s="884">
        <v>0</v>
      </c>
      <c r="G141" s="884">
        <v>0</v>
      </c>
      <c r="H141" s="881">
        <f t="shared" si="13"/>
        <v>0</v>
      </c>
      <c r="I141" s="884">
        <v>0</v>
      </c>
      <c r="J141" s="884">
        <v>0</v>
      </c>
      <c r="K141" s="884">
        <v>0</v>
      </c>
      <c r="L141" s="884">
        <v>0</v>
      </c>
      <c r="M141" s="881">
        <f t="shared" si="11"/>
        <v>16762</v>
      </c>
      <c r="N141" s="883">
        <v>0</v>
      </c>
      <c r="O141" s="883">
        <v>16762</v>
      </c>
      <c r="P141" s="883">
        <v>0</v>
      </c>
      <c r="Q141" s="883">
        <v>0</v>
      </c>
      <c r="R141" s="883">
        <v>0</v>
      </c>
      <c r="U141" s="880"/>
    </row>
    <row r="142" spans="1:21" ht="12.75" x14ac:dyDescent="0.2">
      <c r="A142" s="309">
        <v>129</v>
      </c>
      <c r="B142" s="318" t="s">
        <v>309</v>
      </c>
      <c r="C142" s="319" t="s">
        <v>310</v>
      </c>
      <c r="D142" s="881">
        <f t="shared" si="12"/>
        <v>0</v>
      </c>
      <c r="E142" s="881">
        <f t="shared" si="10"/>
        <v>0</v>
      </c>
      <c r="F142" s="884">
        <v>0</v>
      </c>
      <c r="G142" s="884">
        <v>0</v>
      </c>
      <c r="H142" s="881">
        <f t="shared" si="13"/>
        <v>0</v>
      </c>
      <c r="I142" s="884">
        <v>0</v>
      </c>
      <c r="J142" s="884">
        <v>0</v>
      </c>
      <c r="K142" s="884">
        <v>0</v>
      </c>
      <c r="L142" s="884">
        <v>0</v>
      </c>
      <c r="M142" s="881">
        <f t="shared" si="11"/>
        <v>0</v>
      </c>
      <c r="N142" s="883">
        <v>0</v>
      </c>
      <c r="O142" s="883">
        <v>0</v>
      </c>
      <c r="P142" s="883">
        <v>0</v>
      </c>
      <c r="Q142" s="883">
        <v>0</v>
      </c>
      <c r="R142" s="883">
        <v>0</v>
      </c>
      <c r="U142" s="880"/>
    </row>
    <row r="143" spans="1:21" ht="12.75" x14ac:dyDescent="0.2">
      <c r="A143" s="309">
        <v>130</v>
      </c>
      <c r="B143" s="320" t="s">
        <v>311</v>
      </c>
      <c r="C143" s="321" t="s">
        <v>312</v>
      </c>
      <c r="D143" s="881">
        <f t="shared" si="12"/>
        <v>0</v>
      </c>
      <c r="E143" s="881">
        <f t="shared" si="10"/>
        <v>0</v>
      </c>
      <c r="F143" s="884">
        <v>0</v>
      </c>
      <c r="G143" s="884">
        <v>0</v>
      </c>
      <c r="H143" s="881">
        <f t="shared" si="13"/>
        <v>0</v>
      </c>
      <c r="I143" s="884">
        <v>0</v>
      </c>
      <c r="J143" s="884">
        <v>0</v>
      </c>
      <c r="K143" s="884">
        <v>0</v>
      </c>
      <c r="L143" s="884">
        <v>0</v>
      </c>
      <c r="M143" s="881">
        <f t="shared" si="11"/>
        <v>0</v>
      </c>
      <c r="N143" s="883">
        <v>0</v>
      </c>
      <c r="O143" s="883">
        <v>0</v>
      </c>
      <c r="P143" s="883">
        <v>0</v>
      </c>
      <c r="Q143" s="883">
        <v>0</v>
      </c>
      <c r="R143" s="883">
        <v>0</v>
      </c>
      <c r="U143" s="880"/>
    </row>
    <row r="144" spans="1:21" ht="12.75" x14ac:dyDescent="0.2">
      <c r="A144" s="309">
        <v>131</v>
      </c>
      <c r="B144" s="322" t="s">
        <v>313</v>
      </c>
      <c r="C144" s="323" t="s">
        <v>314</v>
      </c>
      <c r="D144" s="881">
        <f t="shared" si="12"/>
        <v>0</v>
      </c>
      <c r="E144" s="881">
        <f t="shared" si="10"/>
        <v>0</v>
      </c>
      <c r="F144" s="884">
        <v>0</v>
      </c>
      <c r="G144" s="884">
        <v>0</v>
      </c>
      <c r="H144" s="881">
        <f t="shared" si="13"/>
        <v>0</v>
      </c>
      <c r="I144" s="884">
        <v>0</v>
      </c>
      <c r="J144" s="884">
        <v>0</v>
      </c>
      <c r="K144" s="884">
        <v>0</v>
      </c>
      <c r="L144" s="884">
        <v>0</v>
      </c>
      <c r="M144" s="881">
        <f t="shared" si="11"/>
        <v>0</v>
      </c>
      <c r="N144" s="883">
        <v>0</v>
      </c>
      <c r="O144" s="883">
        <v>0</v>
      </c>
      <c r="P144" s="883">
        <v>0</v>
      </c>
      <c r="Q144" s="883">
        <v>0</v>
      </c>
      <c r="R144" s="883">
        <v>0</v>
      </c>
      <c r="U144" s="880"/>
    </row>
    <row r="145" spans="1:21" ht="12.75" x14ac:dyDescent="0.2">
      <c r="A145" s="309">
        <v>132</v>
      </c>
      <c r="B145" s="325" t="s">
        <v>315</v>
      </c>
      <c r="C145" s="326" t="s">
        <v>316</v>
      </c>
      <c r="D145" s="881">
        <f t="shared" si="12"/>
        <v>0</v>
      </c>
      <c r="E145" s="881">
        <f t="shared" si="10"/>
        <v>0</v>
      </c>
      <c r="F145" s="884">
        <v>0</v>
      </c>
      <c r="G145" s="884">
        <v>0</v>
      </c>
      <c r="H145" s="881">
        <f t="shared" si="13"/>
        <v>0</v>
      </c>
      <c r="I145" s="884">
        <v>0</v>
      </c>
      <c r="J145" s="884">
        <v>0</v>
      </c>
      <c r="K145" s="884">
        <v>0</v>
      </c>
      <c r="L145" s="884">
        <v>0</v>
      </c>
      <c r="M145" s="881">
        <f t="shared" si="11"/>
        <v>0</v>
      </c>
      <c r="N145" s="883">
        <v>0</v>
      </c>
      <c r="O145" s="883">
        <v>0</v>
      </c>
      <c r="P145" s="883">
        <v>0</v>
      </c>
      <c r="Q145" s="883">
        <v>0</v>
      </c>
      <c r="R145" s="883">
        <v>0</v>
      </c>
      <c r="U145" s="880"/>
    </row>
    <row r="146" spans="1:21" x14ac:dyDescent="0.2">
      <c r="A146" s="309">
        <v>133</v>
      </c>
      <c r="B146" s="309" t="s">
        <v>317</v>
      </c>
      <c r="C146" s="327" t="s">
        <v>318</v>
      </c>
      <c r="D146" s="881">
        <f t="shared" si="12"/>
        <v>0</v>
      </c>
      <c r="E146" s="881">
        <f t="shared" ref="E146:E148" si="14">F146+G146</f>
        <v>0</v>
      </c>
      <c r="F146" s="884">
        <v>0</v>
      </c>
      <c r="G146" s="884">
        <v>0</v>
      </c>
      <c r="H146" s="881">
        <f t="shared" si="13"/>
        <v>0</v>
      </c>
      <c r="I146" s="884">
        <v>0</v>
      </c>
      <c r="J146" s="884">
        <v>0</v>
      </c>
      <c r="K146" s="884">
        <v>0</v>
      </c>
      <c r="L146" s="884">
        <v>0</v>
      </c>
      <c r="M146" s="881">
        <f t="shared" si="11"/>
        <v>0</v>
      </c>
      <c r="N146" s="883">
        <v>0</v>
      </c>
      <c r="O146" s="883">
        <v>0</v>
      </c>
      <c r="P146" s="883">
        <v>0</v>
      </c>
      <c r="Q146" s="883">
        <v>0</v>
      </c>
      <c r="R146" s="883">
        <v>0</v>
      </c>
      <c r="U146" s="880"/>
    </row>
    <row r="147" spans="1:21" x14ac:dyDescent="0.2">
      <c r="A147" s="309">
        <v>134</v>
      </c>
      <c r="B147" s="328" t="s">
        <v>319</v>
      </c>
      <c r="C147" s="327" t="s">
        <v>320</v>
      </c>
      <c r="D147" s="881">
        <f t="shared" si="12"/>
        <v>0</v>
      </c>
      <c r="E147" s="881">
        <f t="shared" si="14"/>
        <v>0</v>
      </c>
      <c r="F147" s="884"/>
      <c r="G147" s="884">
        <v>0</v>
      </c>
      <c r="H147" s="881">
        <f t="shared" si="13"/>
        <v>0</v>
      </c>
      <c r="I147" s="884"/>
      <c r="J147" s="884">
        <v>0</v>
      </c>
      <c r="K147" s="884">
        <v>0</v>
      </c>
      <c r="L147" s="884">
        <v>0</v>
      </c>
      <c r="M147" s="881">
        <f t="shared" si="11"/>
        <v>0</v>
      </c>
      <c r="N147" s="883">
        <v>0</v>
      </c>
      <c r="O147" s="883">
        <v>0</v>
      </c>
      <c r="P147" s="883">
        <v>0</v>
      </c>
      <c r="Q147" s="883">
        <v>0</v>
      </c>
      <c r="R147" s="883">
        <v>0</v>
      </c>
      <c r="U147" s="880"/>
    </row>
    <row r="148" spans="1:21" x14ac:dyDescent="0.2">
      <c r="A148" s="309">
        <v>135</v>
      </c>
      <c r="B148" s="885" t="s">
        <v>728</v>
      </c>
      <c r="C148" s="886" t="s">
        <v>729</v>
      </c>
      <c r="D148" s="881">
        <f t="shared" si="12"/>
        <v>0</v>
      </c>
      <c r="E148" s="881">
        <f t="shared" si="14"/>
        <v>0</v>
      </c>
      <c r="F148" s="884"/>
      <c r="G148" s="884">
        <v>0</v>
      </c>
      <c r="H148" s="881">
        <f t="shared" si="13"/>
        <v>0</v>
      </c>
      <c r="I148" s="884"/>
      <c r="J148" s="884">
        <v>0</v>
      </c>
      <c r="K148" s="884">
        <v>0</v>
      </c>
      <c r="L148" s="884">
        <v>0</v>
      </c>
      <c r="M148" s="881">
        <f t="shared" si="11"/>
        <v>0</v>
      </c>
      <c r="N148" s="883">
        <v>0</v>
      </c>
      <c r="O148" s="883">
        <v>0</v>
      </c>
      <c r="P148" s="883">
        <v>0</v>
      </c>
      <c r="Q148" s="883">
        <v>0</v>
      </c>
      <c r="R148" s="883">
        <v>0</v>
      </c>
      <c r="U148" s="880"/>
    </row>
    <row r="151" spans="1:21" ht="12.75" x14ac:dyDescent="0.2">
      <c r="A151" s="999" t="s">
        <v>786</v>
      </c>
      <c r="B151" s="999"/>
      <c r="C151" s="999"/>
      <c r="D151" s="999"/>
      <c r="E151" s="999"/>
      <c r="F151" s="999"/>
      <c r="G151" s="999"/>
      <c r="H151" s="999"/>
      <c r="I151" s="999"/>
      <c r="J151" s="999"/>
      <c r="K151" s="999"/>
      <c r="L151" s="999"/>
    </row>
  </sheetData>
  <mergeCells count="23">
    <mergeCell ref="A151:L151"/>
    <mergeCell ref="N5:R5"/>
    <mergeCell ref="A8:C8"/>
    <mergeCell ref="A9:C9"/>
    <mergeCell ref="A10:C10"/>
    <mergeCell ref="A89:A92"/>
    <mergeCell ref="B89:B92"/>
    <mergeCell ref="E5:E6"/>
    <mergeCell ref="F5:G5"/>
    <mergeCell ref="H5:H6"/>
    <mergeCell ref="I5:K5"/>
    <mergeCell ref="L5:L6"/>
    <mergeCell ref="M5:M6"/>
    <mergeCell ref="A1:R1"/>
    <mergeCell ref="A2:A6"/>
    <mergeCell ref="B2:B6"/>
    <mergeCell ref="C2:C6"/>
    <mergeCell ref="D2:R2"/>
    <mergeCell ref="D3:D6"/>
    <mergeCell ref="E3:R3"/>
    <mergeCell ref="E4:G4"/>
    <mergeCell ref="H4:L4"/>
    <mergeCell ref="M4:R4"/>
  </mergeCells>
  <pageMargins left="0.11811023622047245" right="0.11811023622047245" top="0.19685039370078741" bottom="0.15748031496062992" header="0.31496062992125984" footer="0.31496062992125984"/>
  <pageSetup paperSize="9" scale="63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48"/>
  <sheetViews>
    <sheetView zoomScale="90" zoomScaleNormal="90" workbookViewId="0">
      <pane xSplit="3" ySplit="8" topLeftCell="D135" activePane="bottomRight" state="frozen"/>
      <selection pane="topRight" activeCell="D1" sqref="D1"/>
      <selection pane="bottomLeft" activeCell="A8" sqref="A8"/>
      <selection pane="bottomRight" activeCell="C150" sqref="C150"/>
    </sheetView>
  </sheetViews>
  <sheetFormatPr defaultColWidth="10.7109375" defaultRowHeight="12.75" x14ac:dyDescent="0.2"/>
  <cols>
    <col min="1" max="1" width="7" style="205" customWidth="1"/>
    <col min="2" max="2" width="9" style="205" customWidth="1"/>
    <col min="3" max="3" width="43.85546875" style="207" customWidth="1"/>
    <col min="4" max="6" width="13.85546875" style="207" customWidth="1"/>
    <col min="7" max="7" width="11" style="207" customWidth="1"/>
    <col min="8" max="8" width="11.85546875" style="207" customWidth="1"/>
    <col min="9" max="9" width="11" style="207" customWidth="1"/>
    <col min="10" max="10" width="13.85546875" style="207" customWidth="1"/>
    <col min="11" max="11" width="6.5703125" style="207" customWidth="1"/>
    <col min="12" max="16384" width="10.7109375" style="207"/>
  </cols>
  <sheetData>
    <row r="1" spans="1:11" ht="32.25" customHeight="1" x14ac:dyDescent="0.2">
      <c r="B1" s="1023" t="s">
        <v>379</v>
      </c>
      <c r="C1" s="1023"/>
      <c r="D1" s="1023"/>
      <c r="E1" s="1023"/>
      <c r="F1" s="1023"/>
      <c r="G1" s="1023"/>
      <c r="H1" s="1023"/>
      <c r="I1" s="1023"/>
      <c r="J1" s="1023"/>
      <c r="K1" s="206"/>
    </row>
    <row r="2" spans="1:11" ht="9.75" customHeight="1" x14ac:dyDescent="0.2">
      <c r="C2" s="208"/>
    </row>
    <row r="3" spans="1:11" s="209" customFormat="1" ht="35.25" customHeight="1" x14ac:dyDescent="0.2">
      <c r="A3" s="1015" t="s">
        <v>0</v>
      </c>
      <c r="B3" s="1024" t="s">
        <v>1</v>
      </c>
      <c r="C3" s="1026" t="s">
        <v>2</v>
      </c>
      <c r="D3" s="1028" t="s">
        <v>380</v>
      </c>
      <c r="E3" s="1029"/>
      <c r="F3" s="1029"/>
      <c r="G3" s="1029"/>
      <c r="H3" s="1029"/>
      <c r="I3" s="1029"/>
      <c r="J3" s="1030"/>
    </row>
    <row r="4" spans="1:11" s="209" customFormat="1" ht="25.5" customHeight="1" x14ac:dyDescent="0.2">
      <c r="A4" s="1015"/>
      <c r="B4" s="1025"/>
      <c r="C4" s="1027"/>
      <c r="D4" s="1031" t="s">
        <v>381</v>
      </c>
      <c r="E4" s="1032"/>
      <c r="F4" s="1032"/>
      <c r="G4" s="1033" t="s">
        <v>382</v>
      </c>
      <c r="H4" s="1034"/>
      <c r="I4" s="1034"/>
      <c r="J4" s="1035"/>
    </row>
    <row r="5" spans="1:11" s="209" customFormat="1" ht="25.5" customHeight="1" x14ac:dyDescent="0.2">
      <c r="A5" s="1015"/>
      <c r="B5" s="1025"/>
      <c r="C5" s="1027"/>
      <c r="D5" s="1036" t="s">
        <v>383</v>
      </c>
      <c r="E5" s="1038" t="s">
        <v>384</v>
      </c>
      <c r="F5" s="1038"/>
      <c r="G5" s="1039" t="s">
        <v>385</v>
      </c>
      <c r="H5" s="1038" t="s">
        <v>386</v>
      </c>
      <c r="I5" s="1038"/>
      <c r="J5" s="1038"/>
    </row>
    <row r="6" spans="1:11" s="209" customFormat="1" ht="58.5" customHeight="1" x14ac:dyDescent="0.2">
      <c r="A6" s="1015"/>
      <c r="B6" s="1025"/>
      <c r="C6" s="1027"/>
      <c r="D6" s="1037"/>
      <c r="E6" s="888" t="s">
        <v>387</v>
      </c>
      <c r="F6" s="888" t="s">
        <v>388</v>
      </c>
      <c r="G6" s="1037"/>
      <c r="H6" s="888" t="s">
        <v>389</v>
      </c>
      <c r="I6" s="888" t="s">
        <v>390</v>
      </c>
      <c r="J6" s="888" t="s">
        <v>391</v>
      </c>
    </row>
    <row r="7" spans="1:11" s="209" customFormat="1" ht="12.75" customHeight="1" x14ac:dyDescent="0.2">
      <c r="A7" s="210">
        <v>1</v>
      </c>
      <c r="B7" s="211">
        <v>2</v>
      </c>
      <c r="C7" s="212">
        <v>3</v>
      </c>
      <c r="D7" s="890">
        <v>4</v>
      </c>
      <c r="E7" s="889">
        <v>5</v>
      </c>
      <c r="F7" s="889">
        <v>6</v>
      </c>
      <c r="G7" s="889">
        <v>7</v>
      </c>
      <c r="H7" s="888">
        <v>8</v>
      </c>
      <c r="I7" s="888">
        <v>9</v>
      </c>
      <c r="J7" s="888">
        <v>10</v>
      </c>
    </row>
    <row r="8" spans="1:11" s="209" customFormat="1" ht="21" customHeight="1" x14ac:dyDescent="0.2">
      <c r="A8" s="1015" t="s">
        <v>392</v>
      </c>
      <c r="B8" s="1015"/>
      <c r="C8" s="1015"/>
      <c r="D8" s="213">
        <f t="shared" ref="D8:J8" si="0">SUM(D9:D145)-D88</f>
        <v>197405</v>
      </c>
      <c r="E8" s="213">
        <f t="shared" si="0"/>
        <v>32890</v>
      </c>
      <c r="F8" s="213">
        <f t="shared" si="0"/>
        <v>26760</v>
      </c>
      <c r="G8" s="213">
        <f t="shared" si="0"/>
        <v>636</v>
      </c>
      <c r="H8" s="213">
        <f t="shared" si="0"/>
        <v>212</v>
      </c>
      <c r="I8" s="213">
        <f t="shared" si="0"/>
        <v>212</v>
      </c>
      <c r="J8" s="213">
        <f t="shared" si="0"/>
        <v>212</v>
      </c>
    </row>
    <row r="9" spans="1:11" x14ac:dyDescent="0.2">
      <c r="A9" s="214">
        <v>1</v>
      </c>
      <c r="B9" s="215" t="s">
        <v>109</v>
      </c>
      <c r="C9" s="216" t="s">
        <v>110</v>
      </c>
      <c r="D9" s="217">
        <v>904</v>
      </c>
      <c r="E9" s="217">
        <v>89</v>
      </c>
      <c r="F9" s="217">
        <v>131</v>
      </c>
      <c r="G9" s="217">
        <v>0</v>
      </c>
      <c r="H9" s="217">
        <v>0</v>
      </c>
      <c r="I9" s="217">
        <v>0</v>
      </c>
      <c r="J9" s="217">
        <v>0</v>
      </c>
    </row>
    <row r="10" spans="1:11" x14ac:dyDescent="0.2">
      <c r="A10" s="214">
        <v>2</v>
      </c>
      <c r="B10" s="218" t="s">
        <v>111</v>
      </c>
      <c r="C10" s="216" t="s">
        <v>112</v>
      </c>
      <c r="D10" s="217">
        <v>938</v>
      </c>
      <c r="E10" s="217">
        <v>234</v>
      </c>
      <c r="F10" s="217">
        <v>159</v>
      </c>
      <c r="G10" s="217">
        <v>0</v>
      </c>
      <c r="H10" s="217">
        <v>0</v>
      </c>
      <c r="I10" s="217">
        <v>0</v>
      </c>
      <c r="J10" s="217">
        <v>0</v>
      </c>
    </row>
    <row r="11" spans="1:11" x14ac:dyDescent="0.2">
      <c r="A11" s="214">
        <v>3</v>
      </c>
      <c r="B11" s="219" t="s">
        <v>80</v>
      </c>
      <c r="C11" s="220" t="s">
        <v>81</v>
      </c>
      <c r="D11" s="217">
        <v>2752</v>
      </c>
      <c r="E11" s="217">
        <v>687</v>
      </c>
      <c r="F11" s="217">
        <v>473</v>
      </c>
      <c r="G11" s="217">
        <v>3</v>
      </c>
      <c r="H11" s="217">
        <v>1</v>
      </c>
      <c r="I11" s="217">
        <v>1</v>
      </c>
      <c r="J11" s="217">
        <v>1</v>
      </c>
    </row>
    <row r="12" spans="1:11" x14ac:dyDescent="0.2">
      <c r="A12" s="214">
        <v>4</v>
      </c>
      <c r="B12" s="215" t="s">
        <v>113</v>
      </c>
      <c r="C12" s="216" t="s">
        <v>114</v>
      </c>
      <c r="D12" s="217">
        <v>1045</v>
      </c>
      <c r="E12" s="217">
        <v>144</v>
      </c>
      <c r="F12" s="217">
        <v>142</v>
      </c>
      <c r="G12" s="217">
        <v>0</v>
      </c>
      <c r="H12" s="217">
        <v>0</v>
      </c>
      <c r="I12" s="217">
        <v>0</v>
      </c>
      <c r="J12" s="217">
        <v>0</v>
      </c>
    </row>
    <row r="13" spans="1:11" x14ac:dyDescent="0.2">
      <c r="A13" s="214">
        <v>5</v>
      </c>
      <c r="B13" s="215" t="s">
        <v>115</v>
      </c>
      <c r="C13" s="216" t="s">
        <v>116</v>
      </c>
      <c r="D13" s="217">
        <v>1099</v>
      </c>
      <c r="E13" s="217">
        <v>99</v>
      </c>
      <c r="F13" s="217">
        <v>72</v>
      </c>
      <c r="G13" s="217">
        <v>0</v>
      </c>
      <c r="H13" s="217">
        <v>0</v>
      </c>
      <c r="I13" s="217">
        <v>0</v>
      </c>
      <c r="J13" s="217">
        <v>0</v>
      </c>
    </row>
    <row r="14" spans="1:11" x14ac:dyDescent="0.2">
      <c r="A14" s="214">
        <v>6</v>
      </c>
      <c r="B14" s="219" t="s">
        <v>117</v>
      </c>
      <c r="C14" s="220" t="s">
        <v>118</v>
      </c>
      <c r="D14" s="217">
        <v>7642</v>
      </c>
      <c r="E14" s="217">
        <v>1146</v>
      </c>
      <c r="F14" s="217">
        <v>469</v>
      </c>
      <c r="G14" s="217">
        <v>0</v>
      </c>
      <c r="H14" s="217">
        <v>0</v>
      </c>
      <c r="I14" s="217">
        <v>0</v>
      </c>
      <c r="J14" s="217">
        <v>0</v>
      </c>
    </row>
    <row r="15" spans="1:11" x14ac:dyDescent="0.2">
      <c r="A15" s="214">
        <v>7</v>
      </c>
      <c r="B15" s="215" t="s">
        <v>20</v>
      </c>
      <c r="C15" s="216" t="s">
        <v>21</v>
      </c>
      <c r="D15" s="217">
        <v>2823</v>
      </c>
      <c r="E15" s="217">
        <v>200</v>
      </c>
      <c r="F15" s="217">
        <v>70</v>
      </c>
      <c r="G15" s="217">
        <v>0</v>
      </c>
      <c r="H15" s="217">
        <v>0</v>
      </c>
      <c r="I15" s="217">
        <v>0</v>
      </c>
      <c r="J15" s="217">
        <v>0</v>
      </c>
    </row>
    <row r="16" spans="1:11" x14ac:dyDescent="0.2">
      <c r="A16" s="214">
        <v>8</v>
      </c>
      <c r="B16" s="221" t="s">
        <v>119</v>
      </c>
      <c r="C16" s="216" t="s">
        <v>120</v>
      </c>
      <c r="D16" s="217">
        <v>1167</v>
      </c>
      <c r="E16" s="217">
        <v>26</v>
      </c>
      <c r="F16" s="217">
        <v>2</v>
      </c>
      <c r="G16" s="217">
        <v>0</v>
      </c>
      <c r="H16" s="217">
        <v>0</v>
      </c>
      <c r="I16" s="217">
        <v>0</v>
      </c>
      <c r="J16" s="217">
        <v>0</v>
      </c>
    </row>
    <row r="17" spans="1:10" x14ac:dyDescent="0.2">
      <c r="A17" s="214">
        <v>9</v>
      </c>
      <c r="B17" s="221" t="s">
        <v>121</v>
      </c>
      <c r="C17" s="216" t="s">
        <v>122</v>
      </c>
      <c r="D17" s="217">
        <v>1044</v>
      </c>
      <c r="E17" s="217">
        <v>51</v>
      </c>
      <c r="F17" s="217">
        <v>249</v>
      </c>
      <c r="G17" s="217">
        <v>0</v>
      </c>
      <c r="H17" s="217">
        <v>0</v>
      </c>
      <c r="I17" s="217">
        <v>0</v>
      </c>
      <c r="J17" s="217">
        <v>0</v>
      </c>
    </row>
    <row r="18" spans="1:10" x14ac:dyDescent="0.2">
      <c r="A18" s="214">
        <v>10</v>
      </c>
      <c r="B18" s="221" t="s">
        <v>123</v>
      </c>
      <c r="C18" s="216" t="s">
        <v>124</v>
      </c>
      <c r="D18" s="217">
        <v>1425</v>
      </c>
      <c r="E18" s="217">
        <v>61</v>
      </c>
      <c r="F18" s="217">
        <v>12</v>
      </c>
      <c r="G18" s="217">
        <v>0</v>
      </c>
      <c r="H18" s="217">
        <v>0</v>
      </c>
      <c r="I18" s="217">
        <v>0</v>
      </c>
      <c r="J18" s="217">
        <v>0</v>
      </c>
    </row>
    <row r="19" spans="1:10" x14ac:dyDescent="0.2">
      <c r="A19" s="214">
        <v>11</v>
      </c>
      <c r="B19" s="221" t="s">
        <v>125</v>
      </c>
      <c r="C19" s="216" t="s">
        <v>126</v>
      </c>
      <c r="D19" s="217">
        <v>1044</v>
      </c>
      <c r="E19" s="217">
        <v>154</v>
      </c>
      <c r="F19" s="217">
        <v>107</v>
      </c>
      <c r="G19" s="217">
        <v>0</v>
      </c>
      <c r="H19" s="217">
        <v>0</v>
      </c>
      <c r="I19" s="217">
        <v>0</v>
      </c>
      <c r="J19" s="217">
        <v>0</v>
      </c>
    </row>
    <row r="20" spans="1:10" x14ac:dyDescent="0.2">
      <c r="A20" s="214">
        <v>12</v>
      </c>
      <c r="B20" s="221" t="s">
        <v>127</v>
      </c>
      <c r="C20" s="216" t="s">
        <v>128</v>
      </c>
      <c r="D20" s="217">
        <v>2105</v>
      </c>
      <c r="E20" s="217">
        <v>138</v>
      </c>
      <c r="F20" s="217">
        <v>385</v>
      </c>
      <c r="G20" s="217">
        <v>0</v>
      </c>
      <c r="H20" s="217">
        <v>0</v>
      </c>
      <c r="I20" s="217">
        <v>0</v>
      </c>
      <c r="J20" s="217">
        <v>0</v>
      </c>
    </row>
    <row r="21" spans="1:10" x14ac:dyDescent="0.2">
      <c r="A21" s="214">
        <v>13</v>
      </c>
      <c r="B21" s="221" t="s">
        <v>129</v>
      </c>
      <c r="C21" s="216" t="s">
        <v>130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</row>
    <row r="22" spans="1:10" x14ac:dyDescent="0.2">
      <c r="A22" s="214">
        <v>14</v>
      </c>
      <c r="B22" s="221" t="s">
        <v>131</v>
      </c>
      <c r="C22" s="216" t="s">
        <v>132</v>
      </c>
      <c r="D22" s="217">
        <v>1344</v>
      </c>
      <c r="E22" s="217">
        <v>334</v>
      </c>
      <c r="F22" s="217">
        <v>335</v>
      </c>
      <c r="G22" s="217">
        <v>0</v>
      </c>
      <c r="H22" s="217">
        <v>0</v>
      </c>
      <c r="I22" s="217">
        <v>0</v>
      </c>
      <c r="J22" s="217">
        <v>0</v>
      </c>
    </row>
    <row r="23" spans="1:10" x14ac:dyDescent="0.2">
      <c r="A23" s="214">
        <v>15</v>
      </c>
      <c r="B23" s="221" t="s">
        <v>133</v>
      </c>
      <c r="C23" s="216" t="s">
        <v>134</v>
      </c>
      <c r="D23" s="217">
        <v>1827</v>
      </c>
      <c r="E23" s="217">
        <v>136</v>
      </c>
      <c r="F23" s="217">
        <v>146</v>
      </c>
      <c r="G23" s="217">
        <v>0</v>
      </c>
      <c r="H23" s="217">
        <v>0</v>
      </c>
      <c r="I23" s="217">
        <v>0</v>
      </c>
      <c r="J23" s="217">
        <v>0</v>
      </c>
    </row>
    <row r="24" spans="1:10" x14ac:dyDescent="0.2">
      <c r="A24" s="214">
        <v>16</v>
      </c>
      <c r="B24" s="221" t="s">
        <v>135</v>
      </c>
      <c r="C24" s="216" t="s">
        <v>136</v>
      </c>
      <c r="D24" s="217">
        <v>2505</v>
      </c>
      <c r="E24" s="217">
        <v>622</v>
      </c>
      <c r="F24" s="217">
        <v>624</v>
      </c>
      <c r="G24" s="217">
        <v>0</v>
      </c>
      <c r="H24" s="217">
        <v>0</v>
      </c>
      <c r="I24" s="217">
        <v>0</v>
      </c>
      <c r="J24" s="217">
        <v>0</v>
      </c>
    </row>
    <row r="25" spans="1:10" x14ac:dyDescent="0.2">
      <c r="A25" s="214">
        <v>17</v>
      </c>
      <c r="B25" s="219" t="s">
        <v>30</v>
      </c>
      <c r="C25" s="220" t="s">
        <v>31</v>
      </c>
      <c r="D25" s="217">
        <v>4829</v>
      </c>
      <c r="E25" s="217">
        <v>375</v>
      </c>
      <c r="F25" s="217">
        <v>338</v>
      </c>
      <c r="G25" s="217">
        <v>6</v>
      </c>
      <c r="H25" s="217">
        <v>2</v>
      </c>
      <c r="I25" s="217">
        <v>2</v>
      </c>
      <c r="J25" s="217">
        <v>2</v>
      </c>
    </row>
    <row r="26" spans="1:10" x14ac:dyDescent="0.2">
      <c r="A26" s="214">
        <v>18</v>
      </c>
      <c r="B26" s="215" t="s">
        <v>137</v>
      </c>
      <c r="C26" s="216" t="s">
        <v>138</v>
      </c>
      <c r="D26" s="217">
        <v>771</v>
      </c>
      <c r="E26" s="217">
        <v>123</v>
      </c>
      <c r="F26" s="217">
        <v>179</v>
      </c>
      <c r="G26" s="217">
        <v>0</v>
      </c>
      <c r="H26" s="217">
        <v>0</v>
      </c>
      <c r="I26" s="217">
        <v>0</v>
      </c>
      <c r="J26" s="217">
        <v>0</v>
      </c>
    </row>
    <row r="27" spans="1:10" x14ac:dyDescent="0.2">
      <c r="A27" s="214">
        <v>19</v>
      </c>
      <c r="B27" s="215" t="s">
        <v>139</v>
      </c>
      <c r="C27" s="216" t="s">
        <v>140</v>
      </c>
      <c r="D27" s="217">
        <v>639</v>
      </c>
      <c r="E27" s="217">
        <v>118</v>
      </c>
      <c r="F27" s="217">
        <v>134</v>
      </c>
      <c r="G27" s="217">
        <v>0</v>
      </c>
      <c r="H27" s="217">
        <v>0</v>
      </c>
      <c r="I27" s="217">
        <v>0</v>
      </c>
      <c r="J27" s="217">
        <v>0</v>
      </c>
    </row>
    <row r="28" spans="1:10" x14ac:dyDescent="0.2">
      <c r="A28" s="214">
        <v>20</v>
      </c>
      <c r="B28" s="215" t="s">
        <v>84</v>
      </c>
      <c r="C28" s="216" t="s">
        <v>85</v>
      </c>
      <c r="D28" s="217">
        <v>3314</v>
      </c>
      <c r="E28" s="217">
        <v>408</v>
      </c>
      <c r="F28" s="217">
        <v>226</v>
      </c>
      <c r="G28" s="217">
        <v>0</v>
      </c>
      <c r="H28" s="217">
        <v>0</v>
      </c>
      <c r="I28" s="217">
        <v>0</v>
      </c>
      <c r="J28" s="217">
        <v>0</v>
      </c>
    </row>
    <row r="29" spans="1:10" x14ac:dyDescent="0.2">
      <c r="A29" s="214">
        <v>21</v>
      </c>
      <c r="B29" s="222" t="s">
        <v>141</v>
      </c>
      <c r="C29" s="220" t="s">
        <v>142</v>
      </c>
      <c r="D29" s="217">
        <v>2840</v>
      </c>
      <c r="E29" s="217">
        <v>709</v>
      </c>
      <c r="F29" s="217">
        <v>710</v>
      </c>
      <c r="G29" s="217">
        <v>6</v>
      </c>
      <c r="H29" s="217">
        <v>2</v>
      </c>
      <c r="I29" s="217">
        <v>2</v>
      </c>
      <c r="J29" s="217">
        <v>2</v>
      </c>
    </row>
    <row r="30" spans="1:10" x14ac:dyDescent="0.2">
      <c r="A30" s="214">
        <v>22</v>
      </c>
      <c r="B30" s="219" t="s">
        <v>143</v>
      </c>
      <c r="C30" s="220" t="s">
        <v>144</v>
      </c>
      <c r="D30" s="217">
        <v>698</v>
      </c>
      <c r="E30" s="217">
        <v>122</v>
      </c>
      <c r="F30" s="217">
        <v>27</v>
      </c>
      <c r="G30" s="217">
        <v>0</v>
      </c>
      <c r="H30" s="217">
        <v>0</v>
      </c>
      <c r="I30" s="217">
        <v>0</v>
      </c>
      <c r="J30" s="217">
        <v>0</v>
      </c>
    </row>
    <row r="31" spans="1:10" x14ac:dyDescent="0.2">
      <c r="A31" s="214">
        <v>23</v>
      </c>
      <c r="B31" s="221" t="s">
        <v>145</v>
      </c>
      <c r="C31" s="216" t="s">
        <v>146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</row>
    <row r="32" spans="1:10" x14ac:dyDescent="0.2">
      <c r="A32" s="214">
        <v>24</v>
      </c>
      <c r="B32" s="221" t="s">
        <v>147</v>
      </c>
      <c r="C32" s="216" t="s">
        <v>148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</row>
    <row r="33" spans="1:10" x14ac:dyDescent="0.2">
      <c r="A33" s="214">
        <v>25</v>
      </c>
      <c r="B33" s="215" t="s">
        <v>149</v>
      </c>
      <c r="C33" s="216" t="s">
        <v>150</v>
      </c>
      <c r="D33" s="217">
        <v>14584</v>
      </c>
      <c r="E33" s="217">
        <v>3509</v>
      </c>
      <c r="F33" s="217">
        <v>2920</v>
      </c>
      <c r="G33" s="217">
        <v>36</v>
      </c>
      <c r="H33" s="217">
        <v>12</v>
      </c>
      <c r="I33" s="217">
        <v>12</v>
      </c>
      <c r="J33" s="217">
        <v>12</v>
      </c>
    </row>
    <row r="34" spans="1:10" x14ac:dyDescent="0.2">
      <c r="A34" s="214">
        <v>26</v>
      </c>
      <c r="B34" s="221" t="s">
        <v>151</v>
      </c>
      <c r="C34" s="216" t="s">
        <v>152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</row>
    <row r="35" spans="1:10" x14ac:dyDescent="0.2">
      <c r="A35" s="214">
        <v>27</v>
      </c>
      <c r="B35" s="218" t="s">
        <v>153</v>
      </c>
      <c r="C35" s="216" t="s">
        <v>154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</row>
    <row r="36" spans="1:10" ht="24" x14ac:dyDescent="0.2">
      <c r="A36" s="214">
        <v>28</v>
      </c>
      <c r="B36" s="222" t="s">
        <v>155</v>
      </c>
      <c r="C36" s="898" t="s">
        <v>416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</row>
    <row r="37" spans="1:10" x14ac:dyDescent="0.2">
      <c r="A37" s="214">
        <v>29</v>
      </c>
      <c r="B37" s="224" t="s">
        <v>157</v>
      </c>
      <c r="C37" s="220" t="s">
        <v>158</v>
      </c>
      <c r="D37" s="217">
        <v>4059</v>
      </c>
      <c r="E37" s="217">
        <v>1012</v>
      </c>
      <c r="F37" s="217">
        <v>709</v>
      </c>
      <c r="G37" s="217">
        <v>0</v>
      </c>
      <c r="H37" s="217">
        <v>0</v>
      </c>
      <c r="I37" s="217">
        <v>0</v>
      </c>
      <c r="J37" s="217">
        <v>0</v>
      </c>
    </row>
    <row r="38" spans="1:10" x14ac:dyDescent="0.2">
      <c r="A38" s="214">
        <v>30</v>
      </c>
      <c r="B38" s="215" t="s">
        <v>46</v>
      </c>
      <c r="C38" s="216" t="s">
        <v>47</v>
      </c>
      <c r="D38" s="217">
        <v>6096</v>
      </c>
      <c r="E38" s="217">
        <v>1166</v>
      </c>
      <c r="F38" s="217">
        <v>440</v>
      </c>
      <c r="G38" s="217">
        <v>0</v>
      </c>
      <c r="H38" s="217">
        <v>0</v>
      </c>
      <c r="I38" s="217">
        <v>0</v>
      </c>
      <c r="J38" s="217">
        <v>0</v>
      </c>
    </row>
    <row r="39" spans="1:10" x14ac:dyDescent="0.2">
      <c r="A39" s="214">
        <v>31</v>
      </c>
      <c r="B39" s="218" t="s">
        <v>159</v>
      </c>
      <c r="C39" s="216" t="s">
        <v>160</v>
      </c>
      <c r="D39" s="217">
        <v>1150</v>
      </c>
      <c r="E39" s="217">
        <v>285</v>
      </c>
      <c r="F39" s="217">
        <v>53</v>
      </c>
      <c r="G39" s="217">
        <v>0</v>
      </c>
      <c r="H39" s="217">
        <v>0</v>
      </c>
      <c r="I39" s="217">
        <v>0</v>
      </c>
      <c r="J39" s="217">
        <v>0</v>
      </c>
    </row>
    <row r="40" spans="1:10" x14ac:dyDescent="0.2">
      <c r="A40" s="214">
        <v>32</v>
      </c>
      <c r="B40" s="221" t="s">
        <v>58</v>
      </c>
      <c r="C40" s="216" t="s">
        <v>59</v>
      </c>
      <c r="D40" s="217">
        <v>4119</v>
      </c>
      <c r="E40" s="217">
        <v>100</v>
      </c>
      <c r="F40" s="217">
        <v>50</v>
      </c>
      <c r="G40" s="217">
        <v>3</v>
      </c>
      <c r="H40" s="217">
        <v>1</v>
      </c>
      <c r="I40" s="217">
        <v>1</v>
      </c>
      <c r="J40" s="217">
        <v>1</v>
      </c>
    </row>
    <row r="41" spans="1:10" x14ac:dyDescent="0.2">
      <c r="A41" s="214">
        <v>33</v>
      </c>
      <c r="B41" s="218" t="s">
        <v>161</v>
      </c>
      <c r="C41" s="216" t="s">
        <v>162</v>
      </c>
      <c r="D41" s="217">
        <v>1515</v>
      </c>
      <c r="E41" s="217">
        <v>377</v>
      </c>
      <c r="F41" s="217">
        <v>366</v>
      </c>
      <c r="G41" s="217">
        <v>3</v>
      </c>
      <c r="H41" s="217">
        <v>1</v>
      </c>
      <c r="I41" s="217">
        <v>1</v>
      </c>
      <c r="J41" s="217">
        <v>1</v>
      </c>
    </row>
    <row r="42" spans="1:10" x14ac:dyDescent="0.2">
      <c r="A42" s="214">
        <v>34</v>
      </c>
      <c r="B42" s="215" t="s">
        <v>82</v>
      </c>
      <c r="C42" s="216" t="s">
        <v>83</v>
      </c>
      <c r="D42" s="217">
        <v>3947</v>
      </c>
      <c r="E42" s="217">
        <v>848</v>
      </c>
      <c r="F42" s="217">
        <v>932</v>
      </c>
      <c r="G42" s="217">
        <v>0</v>
      </c>
      <c r="H42" s="217">
        <v>0</v>
      </c>
      <c r="I42" s="217">
        <v>0</v>
      </c>
      <c r="J42" s="217">
        <v>0</v>
      </c>
    </row>
    <row r="43" spans="1:10" x14ac:dyDescent="0.2">
      <c r="A43" s="214">
        <v>35</v>
      </c>
      <c r="B43" s="225" t="s">
        <v>163</v>
      </c>
      <c r="C43" s="226" t="s">
        <v>164</v>
      </c>
      <c r="D43" s="217">
        <v>1374</v>
      </c>
      <c r="E43" s="217">
        <v>264</v>
      </c>
      <c r="F43" s="217">
        <v>142</v>
      </c>
      <c r="G43" s="217">
        <v>0</v>
      </c>
      <c r="H43" s="217">
        <v>0</v>
      </c>
      <c r="I43" s="217">
        <v>0</v>
      </c>
      <c r="J43" s="217">
        <v>0</v>
      </c>
    </row>
    <row r="44" spans="1:10" x14ac:dyDescent="0.2">
      <c r="A44" s="214">
        <v>36</v>
      </c>
      <c r="B44" s="215" t="s">
        <v>165</v>
      </c>
      <c r="C44" s="216" t="s">
        <v>166</v>
      </c>
      <c r="D44" s="217">
        <v>909</v>
      </c>
      <c r="E44" s="217">
        <v>227</v>
      </c>
      <c r="F44" s="217">
        <v>206</v>
      </c>
      <c r="G44" s="217">
        <v>0</v>
      </c>
      <c r="H44" s="217">
        <v>0</v>
      </c>
      <c r="I44" s="217">
        <v>0</v>
      </c>
      <c r="J44" s="217">
        <v>0</v>
      </c>
    </row>
    <row r="45" spans="1:10" x14ac:dyDescent="0.2">
      <c r="A45" s="214">
        <v>37</v>
      </c>
      <c r="B45" s="215" t="s">
        <v>86</v>
      </c>
      <c r="C45" s="216" t="s">
        <v>87</v>
      </c>
      <c r="D45" s="217">
        <v>1555</v>
      </c>
      <c r="E45" s="217">
        <v>387</v>
      </c>
      <c r="F45" s="217">
        <v>313</v>
      </c>
      <c r="G45" s="217">
        <v>0</v>
      </c>
      <c r="H45" s="217">
        <v>0</v>
      </c>
      <c r="I45" s="217">
        <v>0</v>
      </c>
      <c r="J45" s="217">
        <v>0</v>
      </c>
    </row>
    <row r="46" spans="1:10" x14ac:dyDescent="0.2">
      <c r="A46" s="214">
        <v>38</v>
      </c>
      <c r="B46" s="221" t="s">
        <v>167</v>
      </c>
      <c r="C46" s="216" t="s">
        <v>168</v>
      </c>
      <c r="D46" s="217">
        <v>742</v>
      </c>
      <c r="E46" s="217">
        <v>185</v>
      </c>
      <c r="F46" s="217">
        <v>12</v>
      </c>
      <c r="G46" s="217">
        <v>0</v>
      </c>
      <c r="H46" s="217">
        <v>0</v>
      </c>
      <c r="I46" s="217">
        <v>0</v>
      </c>
      <c r="J46" s="217">
        <v>0</v>
      </c>
    </row>
    <row r="47" spans="1:10" x14ac:dyDescent="0.2">
      <c r="A47" s="214">
        <v>39</v>
      </c>
      <c r="B47" s="218" t="s">
        <v>169</v>
      </c>
      <c r="C47" s="216" t="s">
        <v>170</v>
      </c>
      <c r="D47" s="217">
        <v>1076</v>
      </c>
      <c r="E47" s="217">
        <v>259</v>
      </c>
      <c r="F47" s="217">
        <v>126</v>
      </c>
      <c r="G47" s="217">
        <v>6</v>
      </c>
      <c r="H47" s="217">
        <v>2</v>
      </c>
      <c r="I47" s="217">
        <v>2</v>
      </c>
      <c r="J47" s="217">
        <v>2</v>
      </c>
    </row>
    <row r="48" spans="1:10" x14ac:dyDescent="0.2">
      <c r="A48" s="214">
        <v>40</v>
      </c>
      <c r="B48" s="219" t="s">
        <v>171</v>
      </c>
      <c r="C48" s="220" t="s">
        <v>172</v>
      </c>
      <c r="D48" s="217">
        <v>5229</v>
      </c>
      <c r="E48" s="217">
        <v>1198</v>
      </c>
      <c r="F48" s="217">
        <v>1236</v>
      </c>
      <c r="G48" s="217">
        <v>0</v>
      </c>
      <c r="H48" s="217">
        <v>0</v>
      </c>
      <c r="I48" s="217">
        <v>0</v>
      </c>
      <c r="J48" s="217">
        <v>0</v>
      </c>
    </row>
    <row r="49" spans="1:10" x14ac:dyDescent="0.2">
      <c r="A49" s="214">
        <v>41</v>
      </c>
      <c r="B49" s="215" t="s">
        <v>78</v>
      </c>
      <c r="C49" s="216" t="s">
        <v>79</v>
      </c>
      <c r="D49" s="217">
        <v>1278</v>
      </c>
      <c r="E49" s="217">
        <v>104</v>
      </c>
      <c r="F49" s="217">
        <v>84</v>
      </c>
      <c r="G49" s="217">
        <v>0</v>
      </c>
      <c r="H49" s="217">
        <v>0</v>
      </c>
      <c r="I49" s="217">
        <v>0</v>
      </c>
      <c r="J49" s="217">
        <v>0</v>
      </c>
    </row>
    <row r="50" spans="1:10" x14ac:dyDescent="0.2">
      <c r="A50" s="214">
        <v>42</v>
      </c>
      <c r="B50" s="215" t="s">
        <v>173</v>
      </c>
      <c r="C50" s="216" t="s">
        <v>174</v>
      </c>
      <c r="D50" s="217">
        <v>4246</v>
      </c>
      <c r="E50" s="217">
        <v>1059</v>
      </c>
      <c r="F50" s="217">
        <v>997</v>
      </c>
      <c r="G50" s="217">
        <v>0</v>
      </c>
      <c r="H50" s="217">
        <v>0</v>
      </c>
      <c r="I50" s="217">
        <v>0</v>
      </c>
      <c r="J50" s="217">
        <v>0</v>
      </c>
    </row>
    <row r="51" spans="1:10" x14ac:dyDescent="0.2">
      <c r="A51" s="214">
        <v>43</v>
      </c>
      <c r="B51" s="221" t="s">
        <v>175</v>
      </c>
      <c r="C51" s="216" t="s">
        <v>176</v>
      </c>
      <c r="D51" s="217">
        <v>957</v>
      </c>
      <c r="E51" s="217">
        <v>184</v>
      </c>
      <c r="F51" s="217">
        <v>175</v>
      </c>
      <c r="G51" s="217">
        <v>0</v>
      </c>
      <c r="H51" s="217">
        <v>0</v>
      </c>
      <c r="I51" s="217">
        <v>0</v>
      </c>
      <c r="J51" s="217">
        <v>0</v>
      </c>
    </row>
    <row r="52" spans="1:10" x14ac:dyDescent="0.2">
      <c r="A52" s="214">
        <v>44</v>
      </c>
      <c r="B52" s="221" t="s">
        <v>42</v>
      </c>
      <c r="C52" s="216" t="s">
        <v>43</v>
      </c>
      <c r="D52" s="217">
        <v>1523</v>
      </c>
      <c r="E52" s="217">
        <v>0</v>
      </c>
      <c r="F52" s="217">
        <v>3</v>
      </c>
      <c r="G52" s="217">
        <v>3</v>
      </c>
      <c r="H52" s="217">
        <v>1</v>
      </c>
      <c r="I52" s="217">
        <v>1</v>
      </c>
      <c r="J52" s="217">
        <v>1</v>
      </c>
    </row>
    <row r="53" spans="1:10" x14ac:dyDescent="0.2">
      <c r="A53" s="214">
        <v>45</v>
      </c>
      <c r="B53" s="218" t="s">
        <v>177</v>
      </c>
      <c r="C53" s="216" t="s">
        <v>178</v>
      </c>
      <c r="D53" s="217">
        <v>1784</v>
      </c>
      <c r="E53" s="217">
        <v>445</v>
      </c>
      <c r="F53" s="217">
        <v>445</v>
      </c>
      <c r="G53" s="217">
        <v>0</v>
      </c>
      <c r="H53" s="217">
        <v>0</v>
      </c>
      <c r="I53" s="217">
        <v>0</v>
      </c>
      <c r="J53" s="217">
        <v>0</v>
      </c>
    </row>
    <row r="54" spans="1:10" x14ac:dyDescent="0.2">
      <c r="A54" s="214">
        <v>46</v>
      </c>
      <c r="B54" s="221" t="s">
        <v>179</v>
      </c>
      <c r="C54" s="216" t="s">
        <v>180</v>
      </c>
      <c r="D54" s="217">
        <v>626</v>
      </c>
      <c r="E54" s="217">
        <v>156</v>
      </c>
      <c r="F54" s="217">
        <v>157</v>
      </c>
      <c r="G54" s="217">
        <v>0</v>
      </c>
      <c r="H54" s="217">
        <v>0</v>
      </c>
      <c r="I54" s="217">
        <v>0</v>
      </c>
      <c r="J54" s="217">
        <v>0</v>
      </c>
    </row>
    <row r="55" spans="1:10" x14ac:dyDescent="0.2">
      <c r="A55" s="214">
        <v>47</v>
      </c>
      <c r="B55" s="218" t="s">
        <v>181</v>
      </c>
      <c r="C55" s="216" t="s">
        <v>182</v>
      </c>
      <c r="D55" s="217">
        <v>1203</v>
      </c>
      <c r="E55" s="217">
        <v>301</v>
      </c>
      <c r="F55" s="217">
        <v>281</v>
      </c>
      <c r="G55" s="217">
        <v>6</v>
      </c>
      <c r="H55" s="217">
        <v>2</v>
      </c>
      <c r="I55" s="217">
        <v>2</v>
      </c>
      <c r="J55" s="217">
        <v>2</v>
      </c>
    </row>
    <row r="56" spans="1:10" x14ac:dyDescent="0.2">
      <c r="A56" s="214">
        <v>48</v>
      </c>
      <c r="B56" s="221" t="s">
        <v>183</v>
      </c>
      <c r="C56" s="216" t="s">
        <v>184</v>
      </c>
      <c r="D56" s="217">
        <v>1878</v>
      </c>
      <c r="E56" s="217">
        <v>469</v>
      </c>
      <c r="F56" s="217">
        <v>470</v>
      </c>
      <c r="G56" s="217">
        <v>0</v>
      </c>
      <c r="H56" s="217">
        <v>0</v>
      </c>
      <c r="I56" s="217">
        <v>0</v>
      </c>
      <c r="J56" s="217">
        <v>0</v>
      </c>
    </row>
    <row r="57" spans="1:10" x14ac:dyDescent="0.2">
      <c r="A57" s="214">
        <v>49</v>
      </c>
      <c r="B57" s="221" t="s">
        <v>185</v>
      </c>
      <c r="C57" s="216" t="s">
        <v>186</v>
      </c>
      <c r="D57" s="217">
        <v>6235</v>
      </c>
      <c r="E57" s="217">
        <v>1295</v>
      </c>
      <c r="F57" s="217">
        <v>951</v>
      </c>
      <c r="G57" s="217">
        <v>66</v>
      </c>
      <c r="H57" s="217">
        <v>22</v>
      </c>
      <c r="I57" s="217">
        <v>22</v>
      </c>
      <c r="J57" s="217">
        <v>22</v>
      </c>
    </row>
    <row r="58" spans="1:10" x14ac:dyDescent="0.2">
      <c r="A58" s="214">
        <v>50</v>
      </c>
      <c r="B58" s="221" t="s">
        <v>187</v>
      </c>
      <c r="C58" s="216" t="s">
        <v>188</v>
      </c>
      <c r="D58" s="217">
        <v>1006</v>
      </c>
      <c r="E58" s="217">
        <v>226</v>
      </c>
      <c r="F58" s="217">
        <v>238</v>
      </c>
      <c r="G58" s="217">
        <v>0</v>
      </c>
      <c r="H58" s="217">
        <v>0</v>
      </c>
      <c r="I58" s="217">
        <v>0</v>
      </c>
      <c r="J58" s="217">
        <v>0</v>
      </c>
    </row>
    <row r="59" spans="1:10" x14ac:dyDescent="0.2">
      <c r="A59" s="214">
        <v>51</v>
      </c>
      <c r="B59" s="221" t="s">
        <v>189</v>
      </c>
      <c r="C59" s="216" t="s">
        <v>190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</row>
    <row r="60" spans="1:10" x14ac:dyDescent="0.2">
      <c r="A60" s="214">
        <v>52</v>
      </c>
      <c r="B60" s="221" t="s">
        <v>191</v>
      </c>
      <c r="C60" s="216" t="s">
        <v>192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</row>
    <row r="61" spans="1:10" x14ac:dyDescent="0.2">
      <c r="A61" s="214">
        <v>53</v>
      </c>
      <c r="B61" s="221" t="s">
        <v>22</v>
      </c>
      <c r="C61" s="216" t="s">
        <v>23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</row>
    <row r="62" spans="1:10" x14ac:dyDescent="0.2">
      <c r="A62" s="214">
        <v>54</v>
      </c>
      <c r="B62" s="218" t="s">
        <v>24</v>
      </c>
      <c r="C62" s="216" t="s">
        <v>25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</row>
    <row r="63" spans="1:10" x14ac:dyDescent="0.2">
      <c r="A63" s="214">
        <v>55</v>
      </c>
      <c r="B63" s="215" t="s">
        <v>193</v>
      </c>
      <c r="C63" s="216" t="s">
        <v>194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</row>
    <row r="64" spans="1:10" x14ac:dyDescent="0.2">
      <c r="A64" s="214">
        <v>56</v>
      </c>
      <c r="B64" s="218" t="s">
        <v>26</v>
      </c>
      <c r="C64" s="216" t="s">
        <v>27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</row>
    <row r="65" spans="1:10" x14ac:dyDescent="0.2">
      <c r="A65" s="214">
        <v>57</v>
      </c>
      <c r="B65" s="221" t="s">
        <v>28</v>
      </c>
      <c r="C65" s="216" t="s">
        <v>29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</row>
    <row r="66" spans="1:10" ht="24" x14ac:dyDescent="0.2">
      <c r="A66" s="214">
        <v>58</v>
      </c>
      <c r="B66" s="215" t="s">
        <v>196</v>
      </c>
      <c r="C66" s="216" t="s">
        <v>197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</row>
    <row r="67" spans="1:10" ht="24" x14ac:dyDescent="0.2">
      <c r="A67" s="214">
        <v>59</v>
      </c>
      <c r="B67" s="215" t="s">
        <v>198</v>
      </c>
      <c r="C67" s="216" t="s">
        <v>199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</row>
    <row r="68" spans="1:10" x14ac:dyDescent="0.2">
      <c r="A68" s="214">
        <v>60</v>
      </c>
      <c r="B68" s="218" t="s">
        <v>62</v>
      </c>
      <c r="C68" s="216" t="s">
        <v>200</v>
      </c>
      <c r="D68" s="217">
        <v>5281</v>
      </c>
      <c r="E68" s="217">
        <v>113</v>
      </c>
      <c r="F68" s="217">
        <v>113</v>
      </c>
      <c r="G68" s="217">
        <v>0</v>
      </c>
      <c r="H68" s="217">
        <v>0</v>
      </c>
      <c r="I68" s="217">
        <v>0</v>
      </c>
      <c r="J68" s="217">
        <v>0</v>
      </c>
    </row>
    <row r="69" spans="1:10" x14ac:dyDescent="0.2">
      <c r="A69" s="214">
        <v>61</v>
      </c>
      <c r="B69" s="218" t="s">
        <v>64</v>
      </c>
      <c r="C69" s="216" t="s">
        <v>201</v>
      </c>
      <c r="D69" s="217">
        <v>3232</v>
      </c>
      <c r="E69" s="217">
        <v>345</v>
      </c>
      <c r="F69" s="217">
        <v>102</v>
      </c>
      <c r="G69" s="217">
        <v>0</v>
      </c>
      <c r="H69" s="217">
        <v>0</v>
      </c>
      <c r="I69" s="217">
        <v>0</v>
      </c>
      <c r="J69" s="217">
        <v>0</v>
      </c>
    </row>
    <row r="70" spans="1:10" x14ac:dyDescent="0.2">
      <c r="A70" s="214">
        <v>62</v>
      </c>
      <c r="B70" s="218" t="s">
        <v>66</v>
      </c>
      <c r="C70" s="216" t="s">
        <v>202</v>
      </c>
      <c r="D70" s="217">
        <v>7141</v>
      </c>
      <c r="E70" s="217">
        <v>1623</v>
      </c>
      <c r="F70" s="217">
        <v>1504</v>
      </c>
      <c r="G70" s="217">
        <v>0</v>
      </c>
      <c r="H70" s="217">
        <v>0</v>
      </c>
      <c r="I70" s="217">
        <v>0</v>
      </c>
      <c r="J70" s="217">
        <v>0</v>
      </c>
    </row>
    <row r="71" spans="1:10" x14ac:dyDescent="0.2">
      <c r="A71" s="214">
        <v>63</v>
      </c>
      <c r="B71" s="218" t="s">
        <v>203</v>
      </c>
      <c r="C71" s="216" t="s">
        <v>204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</row>
    <row r="72" spans="1:10" x14ac:dyDescent="0.2">
      <c r="A72" s="214">
        <v>64</v>
      </c>
      <c r="B72" s="215" t="s">
        <v>205</v>
      </c>
      <c r="C72" s="216" t="s">
        <v>206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</row>
    <row r="73" spans="1:10" x14ac:dyDescent="0.2">
      <c r="A73" s="214">
        <v>65</v>
      </c>
      <c r="B73" s="218" t="s">
        <v>207</v>
      </c>
      <c r="C73" s="216" t="s">
        <v>208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</row>
    <row r="74" spans="1:10" x14ac:dyDescent="0.2">
      <c r="A74" s="214">
        <v>66</v>
      </c>
      <c r="B74" s="218" t="s">
        <v>209</v>
      </c>
      <c r="C74" s="216" t="s">
        <v>210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</row>
    <row r="75" spans="1:10" x14ac:dyDescent="0.2">
      <c r="A75" s="214">
        <v>67</v>
      </c>
      <c r="B75" s="215" t="s">
        <v>211</v>
      </c>
      <c r="C75" s="216" t="s">
        <v>212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</row>
    <row r="76" spans="1:10" x14ac:dyDescent="0.2">
      <c r="A76" s="214">
        <v>68</v>
      </c>
      <c r="B76" s="215" t="s">
        <v>213</v>
      </c>
      <c r="C76" s="216" t="s">
        <v>214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</row>
    <row r="77" spans="1:10" x14ac:dyDescent="0.2">
      <c r="A77" s="214">
        <v>69</v>
      </c>
      <c r="B77" s="215" t="s">
        <v>215</v>
      </c>
      <c r="C77" s="216" t="s">
        <v>216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</row>
    <row r="78" spans="1:10" x14ac:dyDescent="0.2">
      <c r="A78" s="214">
        <v>70</v>
      </c>
      <c r="B78" s="221" t="s">
        <v>217</v>
      </c>
      <c r="C78" s="216" t="s">
        <v>218</v>
      </c>
      <c r="D78" s="217">
        <v>3972</v>
      </c>
      <c r="E78" s="217">
        <v>953</v>
      </c>
      <c r="F78" s="217">
        <v>681</v>
      </c>
      <c r="G78" s="217">
        <v>27</v>
      </c>
      <c r="H78" s="217">
        <v>9</v>
      </c>
      <c r="I78" s="217">
        <v>9</v>
      </c>
      <c r="J78" s="217">
        <v>9</v>
      </c>
    </row>
    <row r="79" spans="1:10" x14ac:dyDescent="0.2">
      <c r="A79" s="214">
        <v>71</v>
      </c>
      <c r="B79" s="215" t="s">
        <v>50</v>
      </c>
      <c r="C79" s="216" t="s">
        <v>219</v>
      </c>
      <c r="D79" s="217">
        <v>9642</v>
      </c>
      <c r="E79" s="217">
        <v>424</v>
      </c>
      <c r="F79" s="217">
        <v>352</v>
      </c>
      <c r="G79" s="217">
        <v>3</v>
      </c>
      <c r="H79" s="217">
        <v>1</v>
      </c>
      <c r="I79" s="217">
        <v>1</v>
      </c>
      <c r="J79" s="217">
        <v>1</v>
      </c>
    </row>
    <row r="80" spans="1:10" x14ac:dyDescent="0.2">
      <c r="A80" s="214">
        <v>72</v>
      </c>
      <c r="B80" s="221" t="s">
        <v>52</v>
      </c>
      <c r="C80" s="216" t="s">
        <v>220</v>
      </c>
      <c r="D80" s="217">
        <v>5595</v>
      </c>
      <c r="E80" s="217">
        <v>786</v>
      </c>
      <c r="F80" s="217">
        <v>725</v>
      </c>
      <c r="G80" s="217">
        <v>9</v>
      </c>
      <c r="H80" s="217">
        <v>3</v>
      </c>
      <c r="I80" s="217">
        <v>3</v>
      </c>
      <c r="J80" s="217">
        <v>3</v>
      </c>
    </row>
    <row r="81" spans="1:10" x14ac:dyDescent="0.2">
      <c r="A81" s="214">
        <v>73</v>
      </c>
      <c r="B81" s="215" t="s">
        <v>44</v>
      </c>
      <c r="C81" s="216" t="s">
        <v>221</v>
      </c>
      <c r="D81" s="217">
        <v>3497</v>
      </c>
      <c r="E81" s="217">
        <v>644</v>
      </c>
      <c r="F81" s="217">
        <v>616</v>
      </c>
      <c r="G81" s="217">
        <v>0</v>
      </c>
      <c r="H81" s="217">
        <v>0</v>
      </c>
      <c r="I81" s="217">
        <v>0</v>
      </c>
      <c r="J81" s="217">
        <v>0</v>
      </c>
    </row>
    <row r="82" spans="1:10" x14ac:dyDescent="0.2">
      <c r="A82" s="214">
        <v>74</v>
      </c>
      <c r="B82" s="215" t="s">
        <v>54</v>
      </c>
      <c r="C82" s="216" t="s">
        <v>222</v>
      </c>
      <c r="D82" s="217">
        <v>9281</v>
      </c>
      <c r="E82" s="217">
        <v>1787</v>
      </c>
      <c r="F82" s="217">
        <v>1563</v>
      </c>
      <c r="G82" s="217">
        <v>357</v>
      </c>
      <c r="H82" s="217">
        <v>119</v>
      </c>
      <c r="I82" s="217">
        <v>119</v>
      </c>
      <c r="J82" s="217">
        <v>119</v>
      </c>
    </row>
    <row r="83" spans="1:10" x14ac:dyDescent="0.2">
      <c r="A83" s="214">
        <v>75</v>
      </c>
      <c r="B83" s="215" t="s">
        <v>36</v>
      </c>
      <c r="C83" s="216" t="s">
        <v>37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</row>
    <row r="84" spans="1:10" x14ac:dyDescent="0.2">
      <c r="A84" s="214">
        <v>76</v>
      </c>
      <c r="B84" s="215" t="s">
        <v>48</v>
      </c>
      <c r="C84" s="216" t="s">
        <v>223</v>
      </c>
      <c r="D84" s="217">
        <v>7525</v>
      </c>
      <c r="E84" s="217">
        <v>192</v>
      </c>
      <c r="F84" s="217">
        <v>165</v>
      </c>
      <c r="G84" s="217">
        <v>96</v>
      </c>
      <c r="H84" s="217">
        <v>32</v>
      </c>
      <c r="I84" s="217">
        <v>32</v>
      </c>
      <c r="J84" s="217">
        <v>32</v>
      </c>
    </row>
    <row r="85" spans="1:10" x14ac:dyDescent="0.2">
      <c r="A85" s="214">
        <v>77</v>
      </c>
      <c r="B85" s="215" t="s">
        <v>224</v>
      </c>
      <c r="C85" s="216" t="s">
        <v>225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</row>
    <row r="86" spans="1:10" x14ac:dyDescent="0.2">
      <c r="A86" s="214">
        <v>78</v>
      </c>
      <c r="B86" s="218" t="s">
        <v>226</v>
      </c>
      <c r="C86" s="216" t="s">
        <v>227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</row>
    <row r="87" spans="1:10" ht="24" x14ac:dyDescent="0.2">
      <c r="A87" s="1016">
        <v>79</v>
      </c>
      <c r="B87" s="1019" t="s">
        <v>228</v>
      </c>
      <c r="C87" s="227" t="s">
        <v>229</v>
      </c>
      <c r="D87" s="217">
        <v>417</v>
      </c>
      <c r="E87" s="217">
        <v>35</v>
      </c>
      <c r="F87" s="217">
        <v>35</v>
      </c>
      <c r="G87" s="217">
        <v>0</v>
      </c>
      <c r="H87" s="217">
        <v>0</v>
      </c>
      <c r="I87" s="217">
        <v>0</v>
      </c>
      <c r="J87" s="217">
        <v>0</v>
      </c>
    </row>
    <row r="88" spans="1:10" ht="36" x14ac:dyDescent="0.2">
      <c r="A88" s="1017"/>
      <c r="B88" s="1020"/>
      <c r="C88" s="216" t="s">
        <v>230</v>
      </c>
      <c r="D88" s="217">
        <v>417</v>
      </c>
      <c r="E88" s="217">
        <v>35</v>
      </c>
      <c r="F88" s="217">
        <v>35</v>
      </c>
      <c r="G88" s="217">
        <v>0</v>
      </c>
      <c r="H88" s="217">
        <v>0</v>
      </c>
      <c r="I88" s="217">
        <v>0</v>
      </c>
      <c r="J88" s="217">
        <v>0</v>
      </c>
    </row>
    <row r="89" spans="1:10" x14ac:dyDescent="0.2">
      <c r="A89" s="1017"/>
      <c r="B89" s="1020"/>
      <c r="C89" s="216" t="s">
        <v>231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</row>
    <row r="90" spans="1:10" ht="24" x14ac:dyDescent="0.2">
      <c r="A90" s="1018"/>
      <c r="B90" s="1021"/>
      <c r="C90" s="12" t="s">
        <v>232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</row>
    <row r="91" spans="1:10" ht="24" x14ac:dyDescent="0.2">
      <c r="A91" s="214">
        <v>80</v>
      </c>
      <c r="B91" s="218" t="s">
        <v>233</v>
      </c>
      <c r="C91" s="216" t="s">
        <v>234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</row>
    <row r="92" spans="1:10" x14ac:dyDescent="0.2">
      <c r="A92" s="214">
        <v>81</v>
      </c>
      <c r="B92" s="218" t="s">
        <v>235</v>
      </c>
      <c r="C92" s="216" t="s">
        <v>236</v>
      </c>
      <c r="D92" s="217">
        <v>335</v>
      </c>
      <c r="E92" s="217">
        <v>83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</row>
    <row r="93" spans="1:10" x14ac:dyDescent="0.2">
      <c r="A93" s="214">
        <v>82</v>
      </c>
      <c r="B93" s="221" t="s">
        <v>74</v>
      </c>
      <c r="C93" s="216" t="s">
        <v>237</v>
      </c>
      <c r="D93" s="217">
        <v>1963</v>
      </c>
      <c r="E93" s="217">
        <v>314</v>
      </c>
      <c r="F93" s="217">
        <v>42</v>
      </c>
      <c r="G93" s="217">
        <v>0</v>
      </c>
      <c r="H93" s="217">
        <v>0</v>
      </c>
      <c r="I93" s="217">
        <v>0</v>
      </c>
      <c r="J93" s="217">
        <v>0</v>
      </c>
    </row>
    <row r="94" spans="1:10" x14ac:dyDescent="0.2">
      <c r="A94" s="214">
        <v>83</v>
      </c>
      <c r="B94" s="218" t="s">
        <v>38</v>
      </c>
      <c r="C94" s="216" t="s">
        <v>39</v>
      </c>
      <c r="D94" s="217">
        <v>829</v>
      </c>
      <c r="E94" s="217">
        <v>209</v>
      </c>
      <c r="F94" s="217">
        <v>209</v>
      </c>
      <c r="G94" s="217">
        <v>0</v>
      </c>
      <c r="H94" s="217">
        <v>0</v>
      </c>
      <c r="I94" s="217">
        <v>0</v>
      </c>
      <c r="J94" s="217">
        <v>0</v>
      </c>
    </row>
    <row r="95" spans="1:10" x14ac:dyDescent="0.2">
      <c r="A95" s="214">
        <v>84</v>
      </c>
      <c r="B95" s="221" t="s">
        <v>40</v>
      </c>
      <c r="C95" s="216" t="s">
        <v>41</v>
      </c>
      <c r="D95" s="217">
        <v>841</v>
      </c>
      <c r="E95" s="217">
        <v>125</v>
      </c>
      <c r="F95" s="217">
        <v>150</v>
      </c>
      <c r="G95" s="217">
        <v>0</v>
      </c>
      <c r="H95" s="217">
        <v>0</v>
      </c>
      <c r="I95" s="217">
        <v>0</v>
      </c>
      <c r="J95" s="217">
        <v>0</v>
      </c>
    </row>
    <row r="96" spans="1:10" x14ac:dyDescent="0.2">
      <c r="A96" s="214">
        <v>85</v>
      </c>
      <c r="B96" s="221" t="s">
        <v>238</v>
      </c>
      <c r="C96" s="216" t="s">
        <v>239</v>
      </c>
      <c r="D96" s="217">
        <v>2331</v>
      </c>
      <c r="E96" s="217">
        <v>584</v>
      </c>
      <c r="F96" s="217">
        <v>584</v>
      </c>
      <c r="G96" s="217">
        <v>0</v>
      </c>
      <c r="H96" s="217">
        <v>0</v>
      </c>
      <c r="I96" s="217">
        <v>0</v>
      </c>
      <c r="J96" s="217">
        <v>0</v>
      </c>
    </row>
    <row r="97" spans="1:10" x14ac:dyDescent="0.2">
      <c r="A97" s="214">
        <v>86</v>
      </c>
      <c r="B97" s="218" t="s">
        <v>240</v>
      </c>
      <c r="C97" s="216" t="s">
        <v>241</v>
      </c>
      <c r="D97" s="217">
        <v>1014</v>
      </c>
      <c r="E97" s="217">
        <v>253</v>
      </c>
      <c r="F97" s="217">
        <v>237</v>
      </c>
      <c r="G97" s="217">
        <v>0</v>
      </c>
      <c r="H97" s="217">
        <v>0</v>
      </c>
      <c r="I97" s="217">
        <v>0</v>
      </c>
      <c r="J97" s="217">
        <v>0</v>
      </c>
    </row>
    <row r="98" spans="1:10" x14ac:dyDescent="0.2">
      <c r="A98" s="214">
        <v>87</v>
      </c>
      <c r="B98" s="218" t="s">
        <v>88</v>
      </c>
      <c r="C98" s="216" t="s">
        <v>89</v>
      </c>
      <c r="D98" s="217">
        <v>1296</v>
      </c>
      <c r="E98" s="217">
        <v>91</v>
      </c>
      <c r="F98" s="217">
        <v>40</v>
      </c>
      <c r="G98" s="217">
        <v>3</v>
      </c>
      <c r="H98" s="217">
        <v>1</v>
      </c>
      <c r="I98" s="217">
        <v>1</v>
      </c>
      <c r="J98" s="217">
        <v>1</v>
      </c>
    </row>
    <row r="99" spans="1:10" x14ac:dyDescent="0.2">
      <c r="A99" s="214">
        <v>88</v>
      </c>
      <c r="B99" s="215" t="s">
        <v>242</v>
      </c>
      <c r="C99" s="216" t="s">
        <v>243</v>
      </c>
      <c r="D99" s="217">
        <v>2720</v>
      </c>
      <c r="E99" s="217">
        <v>679</v>
      </c>
      <c r="F99" s="217">
        <v>680</v>
      </c>
      <c r="G99" s="217">
        <v>0</v>
      </c>
      <c r="H99" s="217">
        <v>0</v>
      </c>
      <c r="I99" s="217">
        <v>0</v>
      </c>
      <c r="J99" s="217">
        <v>0</v>
      </c>
    </row>
    <row r="100" spans="1:10" x14ac:dyDescent="0.2">
      <c r="A100" s="214">
        <v>89</v>
      </c>
      <c r="B100" s="215" t="s">
        <v>244</v>
      </c>
      <c r="C100" s="216" t="s">
        <v>245</v>
      </c>
      <c r="D100" s="217">
        <v>2188</v>
      </c>
      <c r="E100" s="217">
        <v>514</v>
      </c>
      <c r="F100" s="217">
        <v>67</v>
      </c>
      <c r="G100" s="217">
        <v>0</v>
      </c>
      <c r="H100" s="217">
        <v>0</v>
      </c>
      <c r="I100" s="217">
        <v>0</v>
      </c>
      <c r="J100" s="217">
        <v>0</v>
      </c>
    </row>
    <row r="101" spans="1:10" x14ac:dyDescent="0.2">
      <c r="A101" s="214">
        <v>90</v>
      </c>
      <c r="B101" s="221" t="s">
        <v>246</v>
      </c>
      <c r="C101" s="216" t="s">
        <v>247</v>
      </c>
      <c r="D101" s="217">
        <v>765</v>
      </c>
      <c r="E101" s="217">
        <v>126</v>
      </c>
      <c r="F101" s="217">
        <v>102</v>
      </c>
      <c r="G101" s="217">
        <v>0</v>
      </c>
      <c r="H101" s="217">
        <v>0</v>
      </c>
      <c r="I101" s="217">
        <v>0</v>
      </c>
      <c r="J101" s="217">
        <v>0</v>
      </c>
    </row>
    <row r="102" spans="1:10" x14ac:dyDescent="0.2">
      <c r="A102" s="214">
        <v>91</v>
      </c>
      <c r="B102" s="215" t="s">
        <v>248</v>
      </c>
      <c r="C102" s="216" t="s">
        <v>249</v>
      </c>
      <c r="D102" s="217">
        <v>1206</v>
      </c>
      <c r="E102" s="217">
        <v>301</v>
      </c>
      <c r="F102" s="217">
        <v>276</v>
      </c>
      <c r="G102" s="217">
        <v>0</v>
      </c>
      <c r="H102" s="217">
        <v>0</v>
      </c>
      <c r="I102" s="217">
        <v>0</v>
      </c>
      <c r="J102" s="217">
        <v>0</v>
      </c>
    </row>
    <row r="103" spans="1:10" x14ac:dyDescent="0.2">
      <c r="A103" s="214">
        <v>92</v>
      </c>
      <c r="B103" s="215" t="s">
        <v>250</v>
      </c>
      <c r="C103" s="216" t="s">
        <v>251</v>
      </c>
      <c r="D103" s="217">
        <v>1131</v>
      </c>
      <c r="E103" s="217">
        <v>279</v>
      </c>
      <c r="F103" s="217">
        <v>62</v>
      </c>
      <c r="G103" s="217">
        <v>0</v>
      </c>
      <c r="H103" s="217">
        <v>0</v>
      </c>
      <c r="I103" s="217">
        <v>0</v>
      </c>
      <c r="J103" s="217">
        <v>0</v>
      </c>
    </row>
    <row r="104" spans="1:10" x14ac:dyDescent="0.2">
      <c r="A104" s="214">
        <v>93</v>
      </c>
      <c r="B104" s="224" t="s">
        <v>32</v>
      </c>
      <c r="C104" s="220" t="s">
        <v>33</v>
      </c>
      <c r="D104" s="217">
        <v>1359</v>
      </c>
      <c r="E104" s="217">
        <v>125</v>
      </c>
      <c r="F104" s="217">
        <v>53</v>
      </c>
      <c r="G104" s="217">
        <v>0</v>
      </c>
      <c r="H104" s="217">
        <v>0</v>
      </c>
      <c r="I104" s="217">
        <v>0</v>
      </c>
      <c r="J104" s="217">
        <v>0</v>
      </c>
    </row>
    <row r="105" spans="1:10" x14ac:dyDescent="0.2">
      <c r="A105" s="214">
        <v>94</v>
      </c>
      <c r="B105" s="221" t="s">
        <v>252</v>
      </c>
      <c r="C105" s="216" t="s">
        <v>253</v>
      </c>
      <c r="D105" s="217">
        <v>870</v>
      </c>
      <c r="E105" s="217">
        <v>217</v>
      </c>
      <c r="F105" s="217">
        <v>218</v>
      </c>
      <c r="G105" s="217">
        <v>0</v>
      </c>
      <c r="H105" s="217">
        <v>0</v>
      </c>
      <c r="I105" s="217">
        <v>0</v>
      </c>
      <c r="J105" s="217">
        <v>0</v>
      </c>
    </row>
    <row r="106" spans="1:10" x14ac:dyDescent="0.2">
      <c r="A106" s="214">
        <v>95</v>
      </c>
      <c r="B106" s="221" t="s">
        <v>254</v>
      </c>
      <c r="C106" s="216" t="s">
        <v>255</v>
      </c>
      <c r="D106" s="217">
        <v>1333</v>
      </c>
      <c r="E106" s="217">
        <v>98</v>
      </c>
      <c r="F106" s="217">
        <v>126</v>
      </c>
      <c r="G106" s="217">
        <v>0</v>
      </c>
      <c r="H106" s="217">
        <v>0</v>
      </c>
      <c r="I106" s="217">
        <v>0</v>
      </c>
      <c r="J106" s="217">
        <v>0</v>
      </c>
    </row>
    <row r="107" spans="1:10" x14ac:dyDescent="0.2">
      <c r="A107" s="214">
        <v>96</v>
      </c>
      <c r="B107" s="215" t="s">
        <v>256</v>
      </c>
      <c r="C107" s="216" t="s">
        <v>257</v>
      </c>
      <c r="D107" s="217">
        <v>2302</v>
      </c>
      <c r="E107" s="217">
        <v>3</v>
      </c>
      <c r="F107" s="217">
        <v>5</v>
      </c>
      <c r="G107" s="217">
        <v>0</v>
      </c>
      <c r="H107" s="217">
        <v>0</v>
      </c>
      <c r="I107" s="217">
        <v>0</v>
      </c>
      <c r="J107" s="217">
        <v>0</v>
      </c>
    </row>
    <row r="108" spans="1:10" x14ac:dyDescent="0.2">
      <c r="A108" s="214">
        <v>97</v>
      </c>
      <c r="B108" s="218" t="s">
        <v>76</v>
      </c>
      <c r="C108" s="216" t="s">
        <v>77</v>
      </c>
      <c r="D108" s="217">
        <v>1053</v>
      </c>
      <c r="E108" s="217">
        <v>264</v>
      </c>
      <c r="F108" s="217">
        <v>256</v>
      </c>
      <c r="G108" s="217">
        <v>0</v>
      </c>
      <c r="H108" s="217">
        <v>0</v>
      </c>
      <c r="I108" s="217">
        <v>0</v>
      </c>
      <c r="J108" s="217">
        <v>0</v>
      </c>
    </row>
    <row r="109" spans="1:10" x14ac:dyDescent="0.2">
      <c r="A109" s="214">
        <v>98</v>
      </c>
      <c r="B109" s="215" t="s">
        <v>258</v>
      </c>
      <c r="C109" s="216" t="s">
        <v>259</v>
      </c>
      <c r="D109" s="217">
        <v>0</v>
      </c>
      <c r="E109" s="217">
        <v>0</v>
      </c>
      <c r="F109" s="217">
        <v>0</v>
      </c>
      <c r="G109" s="217">
        <v>0</v>
      </c>
      <c r="H109" s="217">
        <v>0</v>
      </c>
      <c r="I109" s="217">
        <v>0</v>
      </c>
      <c r="J109" s="217">
        <v>0</v>
      </c>
    </row>
    <row r="110" spans="1:10" x14ac:dyDescent="0.2">
      <c r="A110" s="214">
        <v>99</v>
      </c>
      <c r="B110" s="215" t="s">
        <v>260</v>
      </c>
      <c r="C110" s="216" t="s">
        <v>261</v>
      </c>
      <c r="D110" s="217">
        <v>0</v>
      </c>
      <c r="E110" s="217">
        <v>0</v>
      </c>
      <c r="F110" s="217">
        <v>0</v>
      </c>
      <c r="G110" s="217">
        <v>0</v>
      </c>
      <c r="H110" s="217">
        <v>0</v>
      </c>
      <c r="I110" s="217">
        <v>0</v>
      </c>
      <c r="J110" s="217">
        <v>0</v>
      </c>
    </row>
    <row r="111" spans="1:10" x14ac:dyDescent="0.2">
      <c r="A111" s="214">
        <v>100</v>
      </c>
      <c r="B111" s="221" t="s">
        <v>264</v>
      </c>
      <c r="C111" s="216" t="s">
        <v>265</v>
      </c>
      <c r="D111" s="217">
        <v>0</v>
      </c>
      <c r="E111" s="217">
        <v>0</v>
      </c>
      <c r="F111" s="217">
        <v>0</v>
      </c>
      <c r="G111" s="217">
        <v>0</v>
      </c>
      <c r="H111" s="217">
        <v>0</v>
      </c>
      <c r="I111" s="217">
        <v>0</v>
      </c>
      <c r="J111" s="217">
        <v>0</v>
      </c>
    </row>
    <row r="112" spans="1:10" x14ac:dyDescent="0.2">
      <c r="A112" s="214">
        <v>101</v>
      </c>
      <c r="B112" s="221" t="s">
        <v>266</v>
      </c>
      <c r="C112" s="216" t="s">
        <v>267</v>
      </c>
      <c r="D112" s="217">
        <v>0</v>
      </c>
      <c r="E112" s="217">
        <v>0</v>
      </c>
      <c r="F112" s="217">
        <v>0</v>
      </c>
      <c r="G112" s="217">
        <v>0</v>
      </c>
      <c r="H112" s="217">
        <v>0</v>
      </c>
      <c r="I112" s="217">
        <v>0</v>
      </c>
      <c r="J112" s="217">
        <v>0</v>
      </c>
    </row>
    <row r="113" spans="1:10" x14ac:dyDescent="0.2">
      <c r="A113" s="214">
        <v>102</v>
      </c>
      <c r="B113" s="221" t="s">
        <v>268</v>
      </c>
      <c r="C113" s="216" t="s">
        <v>269</v>
      </c>
      <c r="D113" s="217">
        <v>0</v>
      </c>
      <c r="E113" s="217">
        <v>0</v>
      </c>
      <c r="F113" s="217">
        <v>0</v>
      </c>
      <c r="G113" s="217">
        <v>0</v>
      </c>
      <c r="H113" s="217">
        <v>0</v>
      </c>
      <c r="I113" s="217">
        <v>0</v>
      </c>
      <c r="J113" s="217">
        <v>0</v>
      </c>
    </row>
    <row r="114" spans="1:10" x14ac:dyDescent="0.2">
      <c r="A114" s="214">
        <v>103</v>
      </c>
      <c r="B114" s="221" t="s">
        <v>270</v>
      </c>
      <c r="C114" s="216" t="s">
        <v>271</v>
      </c>
      <c r="D114" s="217">
        <v>0</v>
      </c>
      <c r="E114" s="217">
        <v>0</v>
      </c>
      <c r="F114" s="217">
        <v>0</v>
      </c>
      <c r="G114" s="217">
        <v>0</v>
      </c>
      <c r="H114" s="217">
        <v>0</v>
      </c>
      <c r="I114" s="217">
        <v>0</v>
      </c>
      <c r="J114" s="217">
        <v>0</v>
      </c>
    </row>
    <row r="115" spans="1:10" x14ac:dyDescent="0.2">
      <c r="A115" s="214">
        <v>104</v>
      </c>
      <c r="B115" s="221" t="s">
        <v>272</v>
      </c>
      <c r="C115" s="216" t="s">
        <v>273</v>
      </c>
      <c r="D115" s="217">
        <v>0</v>
      </c>
      <c r="E115" s="217">
        <v>0</v>
      </c>
      <c r="F115" s="217">
        <v>0</v>
      </c>
      <c r="G115" s="217">
        <v>0</v>
      </c>
      <c r="H115" s="217">
        <v>0</v>
      </c>
      <c r="I115" s="217">
        <v>0</v>
      </c>
      <c r="J115" s="217">
        <v>0</v>
      </c>
    </row>
    <row r="116" spans="1:10" x14ac:dyDescent="0.2">
      <c r="A116" s="214">
        <v>105</v>
      </c>
      <c r="B116" s="228" t="s">
        <v>274</v>
      </c>
      <c r="C116" s="226" t="s">
        <v>275</v>
      </c>
      <c r="D116" s="217">
        <v>0</v>
      </c>
      <c r="E116" s="217">
        <v>0</v>
      </c>
      <c r="F116" s="217">
        <v>0</v>
      </c>
      <c r="G116" s="217">
        <v>0</v>
      </c>
      <c r="H116" s="217">
        <v>0</v>
      </c>
      <c r="I116" s="217">
        <v>0</v>
      </c>
      <c r="J116" s="217">
        <v>0</v>
      </c>
    </row>
    <row r="117" spans="1:10" x14ac:dyDescent="0.2">
      <c r="A117" s="214">
        <v>106</v>
      </c>
      <c r="B117" s="218" t="s">
        <v>276</v>
      </c>
      <c r="C117" s="216" t="s">
        <v>277</v>
      </c>
      <c r="D117" s="217">
        <v>0</v>
      </c>
      <c r="E117" s="217">
        <v>0</v>
      </c>
      <c r="F117" s="217">
        <v>0</v>
      </c>
      <c r="G117" s="217">
        <v>0</v>
      </c>
      <c r="H117" s="217">
        <v>0</v>
      </c>
      <c r="I117" s="217">
        <v>0</v>
      </c>
      <c r="J117" s="217">
        <v>0</v>
      </c>
    </row>
    <row r="118" spans="1:10" x14ac:dyDescent="0.2">
      <c r="A118" s="214">
        <v>107</v>
      </c>
      <c r="B118" s="221" t="s">
        <v>278</v>
      </c>
      <c r="C118" s="216" t="s">
        <v>279</v>
      </c>
      <c r="D118" s="217">
        <v>0</v>
      </c>
      <c r="E118" s="217">
        <v>0</v>
      </c>
      <c r="F118" s="217">
        <v>0</v>
      </c>
      <c r="G118" s="217">
        <v>0</v>
      </c>
      <c r="H118" s="217">
        <v>0</v>
      </c>
      <c r="I118" s="217">
        <v>0</v>
      </c>
      <c r="J118" s="217">
        <v>0</v>
      </c>
    </row>
    <row r="119" spans="1:10" x14ac:dyDescent="0.2">
      <c r="A119" s="214">
        <v>108</v>
      </c>
      <c r="B119" s="215" t="s">
        <v>280</v>
      </c>
      <c r="C119" s="229" t="s">
        <v>281</v>
      </c>
      <c r="D119" s="217">
        <v>0</v>
      </c>
      <c r="E119" s="217">
        <v>0</v>
      </c>
      <c r="F119" s="217">
        <v>0</v>
      </c>
      <c r="G119" s="217">
        <v>0</v>
      </c>
      <c r="H119" s="217">
        <v>0</v>
      </c>
      <c r="I119" s="217">
        <v>0</v>
      </c>
      <c r="J119" s="217">
        <v>0</v>
      </c>
    </row>
    <row r="120" spans="1:10" x14ac:dyDescent="0.2">
      <c r="A120" s="214">
        <v>109</v>
      </c>
      <c r="B120" s="221" t="s">
        <v>282</v>
      </c>
      <c r="C120" s="216" t="s">
        <v>283</v>
      </c>
      <c r="D120" s="217">
        <v>0</v>
      </c>
      <c r="E120" s="217">
        <v>0</v>
      </c>
      <c r="F120" s="217">
        <v>0</v>
      </c>
      <c r="G120" s="217">
        <v>0</v>
      </c>
      <c r="H120" s="217">
        <v>0</v>
      </c>
      <c r="I120" s="217">
        <v>0</v>
      </c>
      <c r="J120" s="217">
        <v>0</v>
      </c>
    </row>
    <row r="121" spans="1:10" x14ac:dyDescent="0.2">
      <c r="A121" s="214">
        <v>110</v>
      </c>
      <c r="B121" s="218" t="s">
        <v>284</v>
      </c>
      <c r="C121" s="216" t="s">
        <v>285</v>
      </c>
      <c r="D121" s="217">
        <v>0</v>
      </c>
      <c r="E121" s="217">
        <v>0</v>
      </c>
      <c r="F121" s="217">
        <v>0</v>
      </c>
      <c r="G121" s="217">
        <v>0</v>
      </c>
      <c r="H121" s="217">
        <v>0</v>
      </c>
      <c r="I121" s="217">
        <v>0</v>
      </c>
      <c r="J121" s="217">
        <v>0</v>
      </c>
    </row>
    <row r="122" spans="1:10" x14ac:dyDescent="0.2">
      <c r="A122" s="214">
        <v>111</v>
      </c>
      <c r="B122" s="218" t="s">
        <v>780</v>
      </c>
      <c r="C122" s="216" t="s">
        <v>737</v>
      </c>
      <c r="D122" s="217">
        <v>0</v>
      </c>
      <c r="E122" s="217">
        <v>0</v>
      </c>
      <c r="F122" s="217">
        <v>0</v>
      </c>
      <c r="G122" s="217">
        <v>0</v>
      </c>
      <c r="H122" s="217">
        <v>0</v>
      </c>
      <c r="I122" s="217">
        <v>0</v>
      </c>
      <c r="J122" s="217">
        <v>0</v>
      </c>
    </row>
    <row r="123" spans="1:10" x14ac:dyDescent="0.2">
      <c r="A123" s="214">
        <v>112</v>
      </c>
      <c r="B123" s="218" t="s">
        <v>286</v>
      </c>
      <c r="C123" s="216" t="s">
        <v>287</v>
      </c>
      <c r="D123" s="217">
        <v>0</v>
      </c>
      <c r="E123" s="217">
        <v>0</v>
      </c>
      <c r="F123" s="217">
        <v>0</v>
      </c>
      <c r="G123" s="217">
        <v>0</v>
      </c>
      <c r="H123" s="217">
        <v>0</v>
      </c>
      <c r="I123" s="217">
        <v>0</v>
      </c>
      <c r="J123" s="217">
        <v>0</v>
      </c>
    </row>
    <row r="124" spans="1:10" x14ac:dyDescent="0.2">
      <c r="A124" s="214">
        <v>113</v>
      </c>
      <c r="B124" s="218" t="s">
        <v>288</v>
      </c>
      <c r="C124" s="216" t="s">
        <v>738</v>
      </c>
      <c r="D124" s="217">
        <v>0</v>
      </c>
      <c r="E124" s="217">
        <v>0</v>
      </c>
      <c r="F124" s="217">
        <v>0</v>
      </c>
      <c r="G124" s="217">
        <v>0</v>
      </c>
      <c r="H124" s="217">
        <v>0</v>
      </c>
      <c r="I124" s="217">
        <v>0</v>
      </c>
      <c r="J124" s="217">
        <v>0</v>
      </c>
    </row>
    <row r="125" spans="1:10" x14ac:dyDescent="0.2">
      <c r="A125" s="214">
        <v>114</v>
      </c>
      <c r="B125" s="221" t="s">
        <v>290</v>
      </c>
      <c r="C125" s="216" t="s">
        <v>291</v>
      </c>
      <c r="D125" s="217">
        <v>0</v>
      </c>
      <c r="E125" s="217">
        <v>0</v>
      </c>
      <c r="F125" s="217">
        <v>0</v>
      </c>
      <c r="G125" s="217">
        <v>0</v>
      </c>
      <c r="H125" s="217">
        <v>0</v>
      </c>
      <c r="I125" s="217">
        <v>0</v>
      </c>
      <c r="J125" s="217">
        <v>0</v>
      </c>
    </row>
    <row r="126" spans="1:10" x14ac:dyDescent="0.2">
      <c r="A126" s="214">
        <v>115</v>
      </c>
      <c r="B126" s="221" t="s">
        <v>292</v>
      </c>
      <c r="C126" s="223" t="s">
        <v>293</v>
      </c>
      <c r="D126" s="217">
        <v>0</v>
      </c>
      <c r="E126" s="217">
        <v>0</v>
      </c>
      <c r="F126" s="217">
        <v>0</v>
      </c>
      <c r="G126" s="217">
        <v>0</v>
      </c>
      <c r="H126" s="217">
        <v>0</v>
      </c>
      <c r="I126" s="217">
        <v>0</v>
      </c>
      <c r="J126" s="217">
        <v>0</v>
      </c>
    </row>
    <row r="127" spans="1:10" x14ac:dyDescent="0.2">
      <c r="A127" s="214">
        <v>116</v>
      </c>
      <c r="B127" s="221" t="s">
        <v>294</v>
      </c>
      <c r="C127" s="216" t="s">
        <v>295</v>
      </c>
      <c r="D127" s="217">
        <v>0</v>
      </c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0</v>
      </c>
    </row>
    <row r="128" spans="1:10" x14ac:dyDescent="0.2">
      <c r="A128" s="214">
        <v>117</v>
      </c>
      <c r="B128" s="221" t="s">
        <v>70</v>
      </c>
      <c r="C128" s="216" t="s">
        <v>296</v>
      </c>
      <c r="D128" s="217">
        <v>0</v>
      </c>
      <c r="E128" s="217">
        <v>0</v>
      </c>
      <c r="F128" s="217">
        <v>0</v>
      </c>
      <c r="G128" s="217">
        <v>0</v>
      </c>
      <c r="H128" s="217">
        <v>0</v>
      </c>
      <c r="I128" s="217">
        <v>0</v>
      </c>
      <c r="J128" s="217">
        <v>0</v>
      </c>
    </row>
    <row r="129" spans="1:10" x14ac:dyDescent="0.2">
      <c r="A129" s="214">
        <v>118</v>
      </c>
      <c r="B129" s="221" t="s">
        <v>72</v>
      </c>
      <c r="C129" s="216" t="s">
        <v>73</v>
      </c>
      <c r="D129" s="217">
        <v>0</v>
      </c>
      <c r="E129" s="217">
        <v>0</v>
      </c>
      <c r="F129" s="217">
        <v>0</v>
      </c>
      <c r="G129" s="217">
        <v>0</v>
      </c>
      <c r="H129" s="217">
        <v>0</v>
      </c>
      <c r="I129" s="217">
        <v>0</v>
      </c>
      <c r="J129" s="217">
        <v>0</v>
      </c>
    </row>
    <row r="130" spans="1:10" x14ac:dyDescent="0.2">
      <c r="A130" s="214">
        <v>119</v>
      </c>
      <c r="B130" s="215" t="s">
        <v>34</v>
      </c>
      <c r="C130" s="216" t="s">
        <v>35</v>
      </c>
      <c r="D130" s="217">
        <v>0</v>
      </c>
      <c r="E130" s="217">
        <v>0</v>
      </c>
      <c r="F130" s="217">
        <v>0</v>
      </c>
      <c r="G130" s="217">
        <v>0</v>
      </c>
      <c r="H130" s="217">
        <v>0</v>
      </c>
      <c r="I130" s="217">
        <v>0</v>
      </c>
      <c r="J130" s="217">
        <v>0</v>
      </c>
    </row>
    <row r="131" spans="1:10" x14ac:dyDescent="0.2">
      <c r="A131" s="214">
        <v>120</v>
      </c>
      <c r="B131" s="215" t="s">
        <v>297</v>
      </c>
      <c r="C131" s="216" t="s">
        <v>298</v>
      </c>
      <c r="D131" s="217">
        <v>0</v>
      </c>
      <c r="E131" s="217">
        <v>0</v>
      </c>
      <c r="F131" s="217">
        <v>0</v>
      </c>
      <c r="G131" s="217">
        <v>0</v>
      </c>
      <c r="H131" s="217">
        <v>0</v>
      </c>
      <c r="I131" s="217">
        <v>0</v>
      </c>
      <c r="J131" s="217">
        <v>0</v>
      </c>
    </row>
    <row r="132" spans="1:10" x14ac:dyDescent="0.2">
      <c r="A132" s="214">
        <v>121</v>
      </c>
      <c r="B132" s="215" t="s">
        <v>299</v>
      </c>
      <c r="C132" s="216" t="s">
        <v>300</v>
      </c>
      <c r="D132" s="217">
        <v>0</v>
      </c>
      <c r="E132" s="217">
        <v>0</v>
      </c>
      <c r="F132" s="217">
        <v>0</v>
      </c>
      <c r="G132" s="217">
        <v>0</v>
      </c>
      <c r="H132" s="217">
        <v>0</v>
      </c>
      <c r="I132" s="217">
        <v>0</v>
      </c>
      <c r="J132" s="217">
        <v>0</v>
      </c>
    </row>
    <row r="133" spans="1:10" x14ac:dyDescent="0.2">
      <c r="A133" s="214">
        <v>122</v>
      </c>
      <c r="B133" s="221" t="s">
        <v>301</v>
      </c>
      <c r="C133" s="216" t="s">
        <v>302</v>
      </c>
      <c r="D133" s="217">
        <v>0</v>
      </c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</row>
    <row r="134" spans="1:10" x14ac:dyDescent="0.2">
      <c r="A134" s="214">
        <v>123</v>
      </c>
      <c r="B134" s="221" t="s">
        <v>16</v>
      </c>
      <c r="C134" s="216" t="s">
        <v>17</v>
      </c>
      <c r="D134" s="217">
        <v>0</v>
      </c>
      <c r="E134" s="217">
        <v>0</v>
      </c>
      <c r="F134" s="217">
        <v>0</v>
      </c>
      <c r="G134" s="217">
        <v>0</v>
      </c>
      <c r="H134" s="217">
        <v>0</v>
      </c>
      <c r="I134" s="217">
        <v>0</v>
      </c>
      <c r="J134" s="217">
        <v>0</v>
      </c>
    </row>
    <row r="135" spans="1:10" x14ac:dyDescent="0.2">
      <c r="A135" s="214">
        <v>124</v>
      </c>
      <c r="B135" s="221" t="s">
        <v>68</v>
      </c>
      <c r="C135" s="216" t="s">
        <v>69</v>
      </c>
      <c r="D135" s="217">
        <v>0</v>
      </c>
      <c r="E135" s="217">
        <v>0</v>
      </c>
      <c r="F135" s="217">
        <v>0</v>
      </c>
      <c r="G135" s="217">
        <v>0</v>
      </c>
      <c r="H135" s="217">
        <v>0</v>
      </c>
      <c r="I135" s="217">
        <v>0</v>
      </c>
      <c r="J135" s="217">
        <v>0</v>
      </c>
    </row>
    <row r="136" spans="1:10" x14ac:dyDescent="0.2">
      <c r="A136" s="214">
        <v>125</v>
      </c>
      <c r="B136" s="215" t="s">
        <v>60</v>
      </c>
      <c r="C136" s="216" t="s">
        <v>303</v>
      </c>
      <c r="D136" s="217">
        <v>4036</v>
      </c>
      <c r="E136" s="217">
        <v>726</v>
      </c>
      <c r="F136" s="217">
        <v>637</v>
      </c>
      <c r="G136" s="217">
        <v>0</v>
      </c>
      <c r="H136" s="217">
        <v>0</v>
      </c>
      <c r="I136" s="217">
        <v>0</v>
      </c>
      <c r="J136" s="217">
        <v>0</v>
      </c>
    </row>
    <row r="137" spans="1:10" x14ac:dyDescent="0.2">
      <c r="A137" s="214">
        <v>126</v>
      </c>
      <c r="B137" s="218" t="s">
        <v>56</v>
      </c>
      <c r="C137" s="216" t="s">
        <v>304</v>
      </c>
      <c r="D137" s="217">
        <v>4404</v>
      </c>
      <c r="E137" s="217">
        <v>965</v>
      </c>
      <c r="F137" s="217">
        <v>864</v>
      </c>
      <c r="G137" s="217">
        <v>3</v>
      </c>
      <c r="H137" s="217">
        <v>1</v>
      </c>
      <c r="I137" s="217">
        <v>1</v>
      </c>
      <c r="J137" s="217">
        <v>1</v>
      </c>
    </row>
    <row r="138" spans="1:10" x14ac:dyDescent="0.2">
      <c r="A138" s="214">
        <v>127</v>
      </c>
      <c r="B138" s="221" t="s">
        <v>305</v>
      </c>
      <c r="C138" s="216" t="s">
        <v>306</v>
      </c>
      <c r="D138" s="217">
        <v>0</v>
      </c>
      <c r="E138" s="217">
        <v>0</v>
      </c>
      <c r="F138" s="217">
        <v>0</v>
      </c>
      <c r="G138" s="217">
        <v>0</v>
      </c>
      <c r="H138" s="217">
        <v>0</v>
      </c>
      <c r="I138" s="217">
        <v>0</v>
      </c>
      <c r="J138" s="217">
        <v>0</v>
      </c>
    </row>
    <row r="139" spans="1:10" x14ac:dyDescent="0.2">
      <c r="A139" s="214">
        <v>128</v>
      </c>
      <c r="B139" s="215" t="s">
        <v>307</v>
      </c>
      <c r="C139" s="216" t="s">
        <v>308</v>
      </c>
      <c r="D139" s="217">
        <v>0</v>
      </c>
      <c r="E139" s="217">
        <v>0</v>
      </c>
      <c r="F139" s="217">
        <v>0</v>
      </c>
      <c r="G139" s="217">
        <v>0</v>
      </c>
      <c r="H139" s="217">
        <v>0</v>
      </c>
      <c r="I139" s="217">
        <v>0</v>
      </c>
      <c r="J139" s="217">
        <v>0</v>
      </c>
    </row>
    <row r="140" spans="1:10" x14ac:dyDescent="0.2">
      <c r="A140" s="214">
        <v>129</v>
      </c>
      <c r="B140" s="221" t="s">
        <v>309</v>
      </c>
      <c r="C140" s="216" t="s">
        <v>310</v>
      </c>
      <c r="D140" s="217">
        <v>0</v>
      </c>
      <c r="E140" s="217">
        <v>0</v>
      </c>
      <c r="F140" s="217">
        <v>0</v>
      </c>
      <c r="G140" s="217">
        <v>0</v>
      </c>
      <c r="H140" s="217">
        <v>0</v>
      </c>
      <c r="I140" s="217">
        <v>0</v>
      </c>
      <c r="J140" s="217">
        <v>0</v>
      </c>
    </row>
    <row r="141" spans="1:10" x14ac:dyDescent="0.2">
      <c r="A141" s="214">
        <v>130</v>
      </c>
      <c r="B141" s="230" t="s">
        <v>311</v>
      </c>
      <c r="C141" s="231" t="s">
        <v>312</v>
      </c>
      <c r="D141" s="217">
        <v>0</v>
      </c>
      <c r="E141" s="217">
        <v>0</v>
      </c>
      <c r="F141" s="217">
        <v>0</v>
      </c>
      <c r="G141" s="217">
        <v>0</v>
      </c>
      <c r="H141" s="217">
        <v>0</v>
      </c>
      <c r="I141" s="217">
        <v>0</v>
      </c>
      <c r="J141" s="217">
        <v>0</v>
      </c>
    </row>
    <row r="142" spans="1:10" x14ac:dyDescent="0.2">
      <c r="A142" s="214">
        <v>131</v>
      </c>
      <c r="B142" s="232" t="s">
        <v>313</v>
      </c>
      <c r="C142" s="233" t="s">
        <v>314</v>
      </c>
      <c r="D142" s="217">
        <v>0</v>
      </c>
      <c r="E142" s="217">
        <v>0</v>
      </c>
      <c r="F142" s="217">
        <v>0</v>
      </c>
      <c r="G142" s="217">
        <v>0</v>
      </c>
      <c r="H142" s="217">
        <v>0</v>
      </c>
      <c r="I142" s="217">
        <v>0</v>
      </c>
      <c r="J142" s="217">
        <v>0</v>
      </c>
    </row>
    <row r="143" spans="1:10" x14ac:dyDescent="0.2">
      <c r="A143" s="214">
        <v>132</v>
      </c>
      <c r="B143" s="234" t="s">
        <v>315</v>
      </c>
      <c r="C143" s="235" t="s">
        <v>316</v>
      </c>
      <c r="D143" s="217">
        <v>0</v>
      </c>
      <c r="E143" s="217">
        <v>0</v>
      </c>
      <c r="F143" s="217">
        <v>0</v>
      </c>
      <c r="G143" s="217">
        <v>0</v>
      </c>
      <c r="H143" s="217">
        <v>0</v>
      </c>
      <c r="I143" s="217">
        <v>0</v>
      </c>
      <c r="J143" s="217">
        <v>0</v>
      </c>
    </row>
    <row r="144" spans="1:10" x14ac:dyDescent="0.2">
      <c r="A144" s="214">
        <v>133</v>
      </c>
      <c r="B144" s="214" t="s">
        <v>317</v>
      </c>
      <c r="C144" s="236" t="s">
        <v>318</v>
      </c>
      <c r="D144" s="217">
        <v>0</v>
      </c>
      <c r="E144" s="217">
        <v>0</v>
      </c>
      <c r="F144" s="217">
        <v>0</v>
      </c>
      <c r="G144" s="217">
        <v>0</v>
      </c>
      <c r="H144" s="217">
        <v>0</v>
      </c>
      <c r="I144" s="217">
        <v>0</v>
      </c>
      <c r="J144" s="217">
        <v>0</v>
      </c>
    </row>
    <row r="145" spans="1:10" x14ac:dyDescent="0.2">
      <c r="A145" s="214">
        <v>134</v>
      </c>
      <c r="B145" s="237" t="s">
        <v>319</v>
      </c>
      <c r="C145" s="236" t="s">
        <v>320</v>
      </c>
      <c r="D145" s="217">
        <v>0</v>
      </c>
      <c r="E145" s="217">
        <v>0</v>
      </c>
      <c r="F145" s="217">
        <v>0</v>
      </c>
      <c r="G145" s="217">
        <v>0</v>
      </c>
      <c r="H145" s="217">
        <v>0</v>
      </c>
      <c r="I145" s="217">
        <v>0</v>
      </c>
      <c r="J145" s="217">
        <v>0</v>
      </c>
    </row>
    <row r="146" spans="1:10" x14ac:dyDescent="0.2">
      <c r="A146" s="214">
        <v>135</v>
      </c>
      <c r="B146" s="899" t="s">
        <v>728</v>
      </c>
      <c r="C146" s="900" t="s">
        <v>729</v>
      </c>
      <c r="D146" s="688">
        <v>0</v>
      </c>
      <c r="E146" s="688">
        <v>0</v>
      </c>
      <c r="F146" s="688">
        <v>0</v>
      </c>
      <c r="G146" s="688">
        <v>0</v>
      </c>
      <c r="H146" s="688">
        <v>0</v>
      </c>
      <c r="I146" s="688">
        <v>0</v>
      </c>
      <c r="J146" s="688">
        <v>0</v>
      </c>
    </row>
    <row r="147" spans="1:10" x14ac:dyDescent="0.2">
      <c r="A147" s="214">
        <v>136</v>
      </c>
      <c r="B147" s="901" t="s">
        <v>782</v>
      </c>
      <c r="C147" s="902" t="s">
        <v>775</v>
      </c>
      <c r="D147" s="688">
        <v>0</v>
      </c>
      <c r="E147" s="688">
        <v>0</v>
      </c>
      <c r="F147" s="688">
        <v>0</v>
      </c>
      <c r="G147" s="688">
        <v>0</v>
      </c>
      <c r="H147" s="688">
        <v>0</v>
      </c>
      <c r="I147" s="688">
        <v>0</v>
      </c>
      <c r="J147" s="688">
        <v>0</v>
      </c>
    </row>
    <row r="148" spans="1:10" ht="57.75" customHeight="1" x14ac:dyDescent="0.2">
      <c r="A148" s="1022" t="s">
        <v>486</v>
      </c>
      <c r="B148" s="1022"/>
      <c r="C148" s="1022"/>
      <c r="D148" s="1022"/>
      <c r="E148" s="1022"/>
      <c r="F148" s="1022"/>
      <c r="G148" s="1022"/>
      <c r="H148" s="1022"/>
      <c r="I148" s="1022"/>
      <c r="J148" s="1022"/>
    </row>
  </sheetData>
  <mergeCells count="15">
    <mergeCell ref="A8:C8"/>
    <mergeCell ref="A87:A90"/>
    <mergeCell ref="B87:B90"/>
    <mergeCell ref="A148:J148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31496062992125984" right="0.31496062992125984" top="0.35433070866141736" bottom="0.15748031496062992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83"/>
  <sheetViews>
    <sheetView zoomScale="80" zoomScaleNormal="80" workbookViewId="0">
      <pane xSplit="3" ySplit="8" topLeftCell="D45" activePane="bottomRight" state="frozen"/>
      <selection pane="topRight" activeCell="D1" sqref="D1"/>
      <selection pane="bottomLeft" activeCell="A9" sqref="A9"/>
      <selection pane="bottomRight" activeCell="H12" sqref="H12"/>
    </sheetView>
  </sheetViews>
  <sheetFormatPr defaultRowHeight="15" x14ac:dyDescent="0.25"/>
  <cols>
    <col min="1" max="1" width="9.140625" style="824"/>
    <col min="2" max="2" width="13.42578125" style="824" customWidth="1"/>
    <col min="3" max="3" width="46" style="824" customWidth="1"/>
    <col min="4" max="4" width="18.140625" style="824" customWidth="1"/>
    <col min="5" max="8" width="16.5703125" style="824" customWidth="1"/>
    <col min="9" max="16384" width="9.140625" style="824"/>
  </cols>
  <sheetData>
    <row r="1" spans="1:10" ht="18.75" x14ac:dyDescent="0.25">
      <c r="A1" s="1043" t="s">
        <v>751</v>
      </c>
      <c r="B1" s="1043"/>
      <c r="C1" s="1043"/>
      <c r="D1" s="1043"/>
      <c r="E1" s="1043"/>
      <c r="F1" s="1043"/>
      <c r="G1" s="1043"/>
      <c r="H1" s="1043"/>
    </row>
    <row r="2" spans="1:10" ht="15.75" x14ac:dyDescent="0.25">
      <c r="A2" s="825"/>
    </row>
    <row r="3" spans="1:10" ht="15.75" x14ac:dyDescent="0.25">
      <c r="A3" s="1044" t="s">
        <v>0</v>
      </c>
      <c r="B3" s="1047" t="s">
        <v>356</v>
      </c>
      <c r="C3" s="1047" t="s">
        <v>93</v>
      </c>
      <c r="D3" s="1048" t="s">
        <v>752</v>
      </c>
      <c r="E3" s="1048"/>
      <c r="F3" s="1048"/>
      <c r="G3" s="1048"/>
      <c r="H3" s="1048"/>
    </row>
    <row r="4" spans="1:10" ht="26.25" customHeight="1" x14ac:dyDescent="0.25">
      <c r="A4" s="1045"/>
      <c r="B4" s="1047"/>
      <c r="C4" s="1047"/>
      <c r="D4" s="1047" t="s">
        <v>753</v>
      </c>
      <c r="E4" s="1048" t="s">
        <v>754</v>
      </c>
      <c r="F4" s="1048"/>
      <c r="G4" s="1048"/>
      <c r="H4" s="826" t="s">
        <v>755</v>
      </c>
      <c r="J4" s="827"/>
    </row>
    <row r="5" spans="1:10" ht="15.75" x14ac:dyDescent="0.25">
      <c r="A5" s="1045"/>
      <c r="B5" s="1047"/>
      <c r="C5" s="1047"/>
      <c r="D5" s="1047"/>
      <c r="E5" s="1049" t="s">
        <v>101</v>
      </c>
      <c r="F5" s="1051" t="s">
        <v>412</v>
      </c>
      <c r="G5" s="1052"/>
      <c r="H5" s="1053" t="s">
        <v>756</v>
      </c>
      <c r="J5" s="827"/>
    </row>
    <row r="6" spans="1:10" ht="33.75" customHeight="1" x14ac:dyDescent="0.25">
      <c r="A6" s="1046"/>
      <c r="B6" s="1047"/>
      <c r="C6" s="1047"/>
      <c r="D6" s="1047"/>
      <c r="E6" s="1050"/>
      <c r="F6" s="828" t="s">
        <v>757</v>
      </c>
      <c r="G6" s="828" t="s">
        <v>758</v>
      </c>
      <c r="H6" s="1053"/>
    </row>
    <row r="7" spans="1:10" s="830" customFormat="1" ht="12" x14ac:dyDescent="0.2">
      <c r="A7" s="309">
        <v>1</v>
      </c>
      <c r="B7" s="309">
        <v>2</v>
      </c>
      <c r="C7" s="829">
        <v>3</v>
      </c>
      <c r="D7" s="309">
        <v>4</v>
      </c>
      <c r="E7" s="829">
        <v>5</v>
      </c>
      <c r="F7" s="309">
        <v>6</v>
      </c>
      <c r="G7" s="829">
        <v>7</v>
      </c>
      <c r="H7" s="309">
        <v>8</v>
      </c>
    </row>
    <row r="8" spans="1:10" ht="25.5" customHeight="1" x14ac:dyDescent="0.25">
      <c r="A8" s="1040" t="s">
        <v>759</v>
      </c>
      <c r="B8" s="1041"/>
      <c r="C8" s="1042"/>
      <c r="D8" s="831">
        <f>E8+H8</f>
        <v>291867</v>
      </c>
      <c r="E8" s="832">
        <f>SUM(E9:E81)</f>
        <v>175122</v>
      </c>
      <c r="F8" s="832">
        <f t="shared" ref="F8:H8" si="0">SUM(F9:F81)</f>
        <v>122591</v>
      </c>
      <c r="G8" s="832">
        <f t="shared" si="0"/>
        <v>52531</v>
      </c>
      <c r="H8" s="832">
        <f t="shared" si="0"/>
        <v>116745</v>
      </c>
    </row>
    <row r="9" spans="1:10" ht="15.75" x14ac:dyDescent="0.25">
      <c r="A9" s="833">
        <v>1</v>
      </c>
      <c r="B9" s="833" t="s">
        <v>131</v>
      </c>
      <c r="C9" s="834" t="s">
        <v>132</v>
      </c>
      <c r="D9" s="835">
        <f>E9+H9</f>
        <v>1956</v>
      </c>
      <c r="E9" s="836">
        <f>F9+G9</f>
        <v>1174</v>
      </c>
      <c r="F9" s="836">
        <v>822</v>
      </c>
      <c r="G9" s="836">
        <v>352</v>
      </c>
      <c r="H9" s="836">
        <v>782</v>
      </c>
    </row>
    <row r="10" spans="1:10" ht="15.75" x14ac:dyDescent="0.25">
      <c r="A10" s="833">
        <v>2</v>
      </c>
      <c r="B10" s="833" t="s">
        <v>38</v>
      </c>
      <c r="C10" s="834" t="s">
        <v>39</v>
      </c>
      <c r="D10" s="835">
        <f t="shared" ref="D10:D73" si="1">E10+H10</f>
        <v>1100</v>
      </c>
      <c r="E10" s="836">
        <f t="shared" ref="E10:E73" si="2">F10+G10</f>
        <v>660</v>
      </c>
      <c r="F10" s="836">
        <v>462</v>
      </c>
      <c r="G10" s="836">
        <v>198</v>
      </c>
      <c r="H10" s="836">
        <v>440</v>
      </c>
    </row>
    <row r="11" spans="1:10" ht="15.75" x14ac:dyDescent="0.25">
      <c r="A11" s="833">
        <v>3</v>
      </c>
      <c r="B11" s="833" t="s">
        <v>133</v>
      </c>
      <c r="C11" s="834" t="s">
        <v>134</v>
      </c>
      <c r="D11" s="835">
        <f t="shared" si="1"/>
        <v>2708</v>
      </c>
      <c r="E11" s="836">
        <f t="shared" si="2"/>
        <v>1625</v>
      </c>
      <c r="F11" s="836">
        <v>1138</v>
      </c>
      <c r="G11" s="836">
        <v>487</v>
      </c>
      <c r="H11" s="836">
        <v>1083</v>
      </c>
    </row>
    <row r="12" spans="1:10" ht="15.75" x14ac:dyDescent="0.25">
      <c r="A12" s="833">
        <v>4</v>
      </c>
      <c r="B12" s="833" t="s">
        <v>109</v>
      </c>
      <c r="C12" s="834" t="s">
        <v>110</v>
      </c>
      <c r="D12" s="835">
        <f t="shared" si="1"/>
        <v>1215</v>
      </c>
      <c r="E12" s="836">
        <f t="shared" si="2"/>
        <v>729</v>
      </c>
      <c r="F12" s="836">
        <v>510</v>
      </c>
      <c r="G12" s="836">
        <v>219</v>
      </c>
      <c r="H12" s="836">
        <v>486</v>
      </c>
    </row>
    <row r="13" spans="1:10" ht="15.75" x14ac:dyDescent="0.25">
      <c r="A13" s="833">
        <v>5</v>
      </c>
      <c r="B13" s="833" t="s">
        <v>135</v>
      </c>
      <c r="C13" s="834" t="s">
        <v>136</v>
      </c>
      <c r="D13" s="835">
        <f t="shared" si="1"/>
        <v>3630</v>
      </c>
      <c r="E13" s="836">
        <f t="shared" si="2"/>
        <v>2178</v>
      </c>
      <c r="F13" s="836">
        <v>1525</v>
      </c>
      <c r="G13" s="836">
        <v>653</v>
      </c>
      <c r="H13" s="836">
        <v>1452</v>
      </c>
    </row>
    <row r="14" spans="1:10" ht="15.75" x14ac:dyDescent="0.25">
      <c r="A14" s="833">
        <v>6</v>
      </c>
      <c r="B14" s="833" t="s">
        <v>78</v>
      </c>
      <c r="C14" s="834" t="s">
        <v>79</v>
      </c>
      <c r="D14" s="835">
        <f t="shared" si="1"/>
        <v>1620</v>
      </c>
      <c r="E14" s="836">
        <f t="shared" si="2"/>
        <v>972</v>
      </c>
      <c r="F14" s="836">
        <v>680</v>
      </c>
      <c r="G14" s="836">
        <v>292</v>
      </c>
      <c r="H14" s="836">
        <v>648</v>
      </c>
    </row>
    <row r="15" spans="1:10" ht="15.75" x14ac:dyDescent="0.25">
      <c r="A15" s="833">
        <v>7</v>
      </c>
      <c r="B15" s="833" t="s">
        <v>111</v>
      </c>
      <c r="C15" s="834" t="s">
        <v>112</v>
      </c>
      <c r="D15" s="835">
        <f t="shared" si="1"/>
        <v>1169</v>
      </c>
      <c r="E15" s="836">
        <f t="shared" si="2"/>
        <v>701</v>
      </c>
      <c r="F15" s="836">
        <v>491</v>
      </c>
      <c r="G15" s="836">
        <v>210</v>
      </c>
      <c r="H15" s="836">
        <v>468</v>
      </c>
    </row>
    <row r="16" spans="1:10" ht="15.75" x14ac:dyDescent="0.25">
      <c r="A16" s="833">
        <v>8</v>
      </c>
      <c r="B16" s="833" t="s">
        <v>173</v>
      </c>
      <c r="C16" s="834" t="s">
        <v>174</v>
      </c>
      <c r="D16" s="835">
        <f t="shared" si="1"/>
        <v>5922</v>
      </c>
      <c r="E16" s="836">
        <f t="shared" si="2"/>
        <v>3553</v>
      </c>
      <c r="F16" s="836">
        <v>2487</v>
      </c>
      <c r="G16" s="836">
        <v>1066</v>
      </c>
      <c r="H16" s="836">
        <v>2369</v>
      </c>
    </row>
    <row r="17" spans="1:8" ht="15.75" x14ac:dyDescent="0.25">
      <c r="A17" s="833">
        <v>9</v>
      </c>
      <c r="B17" s="833" t="s">
        <v>40</v>
      </c>
      <c r="C17" s="834" t="s">
        <v>41</v>
      </c>
      <c r="D17" s="835">
        <f t="shared" si="1"/>
        <v>1143</v>
      </c>
      <c r="E17" s="836">
        <f t="shared" si="2"/>
        <v>686</v>
      </c>
      <c r="F17" s="836">
        <v>480</v>
      </c>
      <c r="G17" s="836">
        <v>206</v>
      </c>
      <c r="H17" s="836">
        <v>457</v>
      </c>
    </row>
    <row r="18" spans="1:8" ht="15.75" x14ac:dyDescent="0.25">
      <c r="A18" s="833">
        <v>10</v>
      </c>
      <c r="B18" s="833" t="s">
        <v>30</v>
      </c>
      <c r="C18" s="834" t="s">
        <v>760</v>
      </c>
      <c r="D18" s="835">
        <f t="shared" si="1"/>
        <v>7034</v>
      </c>
      <c r="E18" s="836">
        <f t="shared" si="2"/>
        <v>4220</v>
      </c>
      <c r="F18" s="836">
        <v>2954</v>
      </c>
      <c r="G18" s="836">
        <v>1266</v>
      </c>
      <c r="H18" s="836">
        <v>2814</v>
      </c>
    </row>
    <row r="19" spans="1:8" ht="15.75" x14ac:dyDescent="0.25">
      <c r="A19" s="833">
        <v>11</v>
      </c>
      <c r="B19" s="833" t="s">
        <v>175</v>
      </c>
      <c r="C19" s="834" t="s">
        <v>176</v>
      </c>
      <c r="D19" s="835">
        <f t="shared" si="1"/>
        <v>1158</v>
      </c>
      <c r="E19" s="836">
        <f t="shared" si="2"/>
        <v>695</v>
      </c>
      <c r="F19" s="836">
        <v>487</v>
      </c>
      <c r="G19" s="836">
        <v>208</v>
      </c>
      <c r="H19" s="836">
        <v>463</v>
      </c>
    </row>
    <row r="20" spans="1:8" ht="15.75" x14ac:dyDescent="0.25">
      <c r="A20" s="833">
        <v>12</v>
      </c>
      <c r="B20" s="833" t="s">
        <v>80</v>
      </c>
      <c r="C20" s="834" t="s">
        <v>81</v>
      </c>
      <c r="D20" s="835">
        <f t="shared" si="1"/>
        <v>4017</v>
      </c>
      <c r="E20" s="836">
        <f t="shared" si="2"/>
        <v>2410</v>
      </c>
      <c r="F20" s="836">
        <v>1687</v>
      </c>
      <c r="G20" s="836">
        <v>723</v>
      </c>
      <c r="H20" s="836">
        <v>1607</v>
      </c>
    </row>
    <row r="21" spans="1:8" ht="15.75" x14ac:dyDescent="0.25">
      <c r="A21" s="833">
        <v>13</v>
      </c>
      <c r="B21" s="833" t="s">
        <v>238</v>
      </c>
      <c r="C21" s="834" t="s">
        <v>239</v>
      </c>
      <c r="D21" s="835">
        <f t="shared" si="1"/>
        <v>3630</v>
      </c>
      <c r="E21" s="836">
        <f t="shared" si="2"/>
        <v>2178</v>
      </c>
      <c r="F21" s="836">
        <v>1525</v>
      </c>
      <c r="G21" s="836">
        <v>653</v>
      </c>
      <c r="H21" s="836">
        <v>1452</v>
      </c>
    </row>
    <row r="22" spans="1:8" ht="15.75" x14ac:dyDescent="0.25">
      <c r="A22" s="833">
        <v>14</v>
      </c>
      <c r="B22" s="833" t="s">
        <v>240</v>
      </c>
      <c r="C22" s="834" t="s">
        <v>761</v>
      </c>
      <c r="D22" s="835">
        <f t="shared" si="1"/>
        <v>1349</v>
      </c>
      <c r="E22" s="836">
        <f t="shared" si="2"/>
        <v>809</v>
      </c>
      <c r="F22" s="836">
        <v>566</v>
      </c>
      <c r="G22" s="836">
        <v>243</v>
      </c>
      <c r="H22" s="836">
        <v>540</v>
      </c>
    </row>
    <row r="23" spans="1:8" ht="15.75" x14ac:dyDescent="0.25">
      <c r="A23" s="833">
        <v>15</v>
      </c>
      <c r="B23" s="833" t="s">
        <v>88</v>
      </c>
      <c r="C23" s="834" t="s">
        <v>89</v>
      </c>
      <c r="D23" s="835">
        <f t="shared" si="1"/>
        <v>1625</v>
      </c>
      <c r="E23" s="836">
        <f t="shared" si="2"/>
        <v>975</v>
      </c>
      <c r="F23" s="836">
        <v>683</v>
      </c>
      <c r="G23" s="836">
        <v>292</v>
      </c>
      <c r="H23" s="836">
        <v>650</v>
      </c>
    </row>
    <row r="24" spans="1:8" ht="15.75" x14ac:dyDescent="0.25">
      <c r="A24" s="833">
        <v>16</v>
      </c>
      <c r="B24" s="833" t="s">
        <v>113</v>
      </c>
      <c r="C24" s="834" t="s">
        <v>114</v>
      </c>
      <c r="D24" s="835">
        <f t="shared" si="1"/>
        <v>1249</v>
      </c>
      <c r="E24" s="836">
        <f t="shared" si="2"/>
        <v>749</v>
      </c>
      <c r="F24" s="836">
        <v>524</v>
      </c>
      <c r="G24" s="836">
        <v>225</v>
      </c>
      <c r="H24" s="836">
        <v>500</v>
      </c>
    </row>
    <row r="25" spans="1:8" ht="15.75" x14ac:dyDescent="0.25">
      <c r="A25" s="833">
        <v>17</v>
      </c>
      <c r="B25" s="833" t="s">
        <v>137</v>
      </c>
      <c r="C25" s="834" t="s">
        <v>138</v>
      </c>
      <c r="D25" s="835">
        <f t="shared" si="1"/>
        <v>1146</v>
      </c>
      <c r="E25" s="836">
        <f t="shared" si="2"/>
        <v>688</v>
      </c>
      <c r="F25" s="836">
        <v>482</v>
      </c>
      <c r="G25" s="836">
        <v>206</v>
      </c>
      <c r="H25" s="836">
        <v>458</v>
      </c>
    </row>
    <row r="26" spans="1:8" ht="15.75" x14ac:dyDescent="0.25">
      <c r="A26" s="833">
        <v>18</v>
      </c>
      <c r="B26" s="833" t="s">
        <v>115</v>
      </c>
      <c r="C26" s="834" t="s">
        <v>116</v>
      </c>
      <c r="D26" s="835">
        <f t="shared" si="1"/>
        <v>1489</v>
      </c>
      <c r="E26" s="836">
        <f t="shared" si="2"/>
        <v>893</v>
      </c>
      <c r="F26" s="836">
        <v>625</v>
      </c>
      <c r="G26" s="836">
        <v>268</v>
      </c>
      <c r="H26" s="836">
        <v>596</v>
      </c>
    </row>
    <row r="27" spans="1:8" ht="15.75" x14ac:dyDescent="0.25">
      <c r="A27" s="833">
        <v>19</v>
      </c>
      <c r="B27" s="833" t="s">
        <v>42</v>
      </c>
      <c r="C27" s="834" t="s">
        <v>43</v>
      </c>
      <c r="D27" s="835">
        <f t="shared" si="1"/>
        <v>1975</v>
      </c>
      <c r="E27" s="836">
        <f t="shared" si="2"/>
        <v>1185</v>
      </c>
      <c r="F27" s="836">
        <v>830</v>
      </c>
      <c r="G27" s="836">
        <v>355</v>
      </c>
      <c r="H27" s="836">
        <v>790</v>
      </c>
    </row>
    <row r="28" spans="1:8" ht="15.75" x14ac:dyDescent="0.25">
      <c r="A28" s="833">
        <v>20</v>
      </c>
      <c r="B28" s="833" t="s">
        <v>171</v>
      </c>
      <c r="C28" s="834" t="s">
        <v>500</v>
      </c>
      <c r="D28" s="835">
        <f t="shared" si="1"/>
        <v>7727</v>
      </c>
      <c r="E28" s="836">
        <f t="shared" si="2"/>
        <v>4636</v>
      </c>
      <c r="F28" s="836">
        <v>3245</v>
      </c>
      <c r="G28" s="836">
        <v>1391</v>
      </c>
      <c r="H28" s="836">
        <v>3091</v>
      </c>
    </row>
    <row r="29" spans="1:8" ht="15.75" x14ac:dyDescent="0.25">
      <c r="A29" s="833">
        <v>21</v>
      </c>
      <c r="B29" s="833" t="s">
        <v>44</v>
      </c>
      <c r="C29" s="834" t="s">
        <v>762</v>
      </c>
      <c r="D29" s="835">
        <f t="shared" si="1"/>
        <v>5675</v>
      </c>
      <c r="E29" s="836">
        <f t="shared" si="2"/>
        <v>3405</v>
      </c>
      <c r="F29" s="836">
        <v>2384</v>
      </c>
      <c r="G29" s="836">
        <v>1021</v>
      </c>
      <c r="H29" s="836">
        <v>2270</v>
      </c>
    </row>
    <row r="30" spans="1:8" ht="15.75" x14ac:dyDescent="0.25">
      <c r="A30" s="833">
        <v>22</v>
      </c>
      <c r="B30" s="833" t="s">
        <v>157</v>
      </c>
      <c r="C30" s="834" t="s">
        <v>554</v>
      </c>
      <c r="D30" s="835">
        <f t="shared" si="1"/>
        <v>5683</v>
      </c>
      <c r="E30" s="836">
        <f t="shared" si="2"/>
        <v>3410</v>
      </c>
      <c r="F30" s="836">
        <v>2387</v>
      </c>
      <c r="G30" s="836">
        <v>1023</v>
      </c>
      <c r="H30" s="836">
        <v>2273</v>
      </c>
    </row>
    <row r="31" spans="1:8" ht="15.75" x14ac:dyDescent="0.25">
      <c r="A31" s="833">
        <v>23</v>
      </c>
      <c r="B31" s="833" t="s">
        <v>117</v>
      </c>
      <c r="C31" s="834" t="s">
        <v>557</v>
      </c>
      <c r="D31" s="835">
        <f t="shared" si="1"/>
        <v>11372</v>
      </c>
      <c r="E31" s="836">
        <f t="shared" si="2"/>
        <v>6823</v>
      </c>
      <c r="F31" s="836">
        <v>4776</v>
      </c>
      <c r="G31" s="836">
        <v>2047</v>
      </c>
      <c r="H31" s="836">
        <v>4549</v>
      </c>
    </row>
    <row r="32" spans="1:8" ht="15.75" x14ac:dyDescent="0.25">
      <c r="A32" s="833">
        <v>24</v>
      </c>
      <c r="B32" s="833" t="s">
        <v>46</v>
      </c>
      <c r="C32" s="834" t="s">
        <v>763</v>
      </c>
      <c r="D32" s="835">
        <f t="shared" si="1"/>
        <v>9124</v>
      </c>
      <c r="E32" s="836">
        <f t="shared" si="2"/>
        <v>5474</v>
      </c>
      <c r="F32" s="836">
        <v>3832</v>
      </c>
      <c r="G32" s="836">
        <v>1642</v>
      </c>
      <c r="H32" s="836">
        <v>3650</v>
      </c>
    </row>
    <row r="33" spans="1:8" ht="15.75" x14ac:dyDescent="0.25">
      <c r="A33" s="833">
        <v>25</v>
      </c>
      <c r="B33" s="833" t="s">
        <v>149</v>
      </c>
      <c r="C33" s="834" t="s">
        <v>764</v>
      </c>
      <c r="D33" s="835">
        <f t="shared" si="1"/>
        <v>22023</v>
      </c>
      <c r="E33" s="836">
        <f t="shared" si="2"/>
        <v>13214</v>
      </c>
      <c r="F33" s="836">
        <v>9250</v>
      </c>
      <c r="G33" s="836">
        <v>3964</v>
      </c>
      <c r="H33" s="836">
        <v>8809</v>
      </c>
    </row>
    <row r="34" spans="1:8" ht="15.75" x14ac:dyDescent="0.25">
      <c r="A34" s="833">
        <v>26</v>
      </c>
      <c r="B34" s="833" t="s">
        <v>54</v>
      </c>
      <c r="C34" s="834" t="s">
        <v>55</v>
      </c>
      <c r="D34" s="835">
        <f t="shared" si="1"/>
        <v>14466</v>
      </c>
      <c r="E34" s="836">
        <f t="shared" si="2"/>
        <v>8680</v>
      </c>
      <c r="F34" s="836">
        <v>6076</v>
      </c>
      <c r="G34" s="836">
        <v>2604</v>
      </c>
      <c r="H34" s="836">
        <v>5786</v>
      </c>
    </row>
    <row r="35" spans="1:8" ht="15.75" x14ac:dyDescent="0.25">
      <c r="A35" s="833">
        <v>27</v>
      </c>
      <c r="B35" s="833" t="s">
        <v>48</v>
      </c>
      <c r="C35" s="834" t="s">
        <v>49</v>
      </c>
      <c r="D35" s="835">
        <f t="shared" si="1"/>
        <v>12097</v>
      </c>
      <c r="E35" s="836">
        <f t="shared" si="2"/>
        <v>7258</v>
      </c>
      <c r="F35" s="836">
        <v>5081</v>
      </c>
      <c r="G35" s="836">
        <v>2177</v>
      </c>
      <c r="H35" s="836">
        <v>4839</v>
      </c>
    </row>
    <row r="36" spans="1:8" ht="15.75" x14ac:dyDescent="0.25">
      <c r="A36" s="833">
        <v>28</v>
      </c>
      <c r="B36" s="833" t="s">
        <v>56</v>
      </c>
      <c r="C36" s="834" t="s">
        <v>57</v>
      </c>
      <c r="D36" s="835">
        <f t="shared" si="1"/>
        <v>6958</v>
      </c>
      <c r="E36" s="836">
        <f t="shared" si="2"/>
        <v>4175</v>
      </c>
      <c r="F36" s="836">
        <v>2923</v>
      </c>
      <c r="G36" s="836">
        <v>1252</v>
      </c>
      <c r="H36" s="836">
        <v>2783</v>
      </c>
    </row>
    <row r="37" spans="1:8" ht="15.75" x14ac:dyDescent="0.25">
      <c r="A37" s="833">
        <v>29</v>
      </c>
      <c r="B37" s="833" t="s">
        <v>50</v>
      </c>
      <c r="C37" s="834" t="s">
        <v>765</v>
      </c>
      <c r="D37" s="835">
        <f t="shared" si="1"/>
        <v>15875</v>
      </c>
      <c r="E37" s="836">
        <f t="shared" si="2"/>
        <v>9525</v>
      </c>
      <c r="F37" s="836">
        <v>6668</v>
      </c>
      <c r="G37" s="836">
        <v>2857</v>
      </c>
      <c r="H37" s="836">
        <v>6350</v>
      </c>
    </row>
    <row r="38" spans="1:8" ht="15.75" x14ac:dyDescent="0.25">
      <c r="A38" s="833">
        <v>30</v>
      </c>
      <c r="B38" s="833" t="s">
        <v>52</v>
      </c>
      <c r="C38" s="834" t="s">
        <v>53</v>
      </c>
      <c r="D38" s="835">
        <f t="shared" si="1"/>
        <v>8940</v>
      </c>
      <c r="E38" s="836">
        <f t="shared" si="2"/>
        <v>5364</v>
      </c>
      <c r="F38" s="836">
        <v>3755</v>
      </c>
      <c r="G38" s="836">
        <v>1609</v>
      </c>
      <c r="H38" s="836">
        <v>3576</v>
      </c>
    </row>
    <row r="39" spans="1:8" ht="15.75" x14ac:dyDescent="0.25">
      <c r="A39" s="833">
        <v>31</v>
      </c>
      <c r="B39" s="833" t="s">
        <v>217</v>
      </c>
      <c r="C39" s="834" t="s">
        <v>766</v>
      </c>
      <c r="D39" s="835">
        <f t="shared" si="1"/>
        <v>6641</v>
      </c>
      <c r="E39" s="836">
        <f t="shared" si="2"/>
        <v>3985</v>
      </c>
      <c r="F39" s="836">
        <v>2790</v>
      </c>
      <c r="G39" s="836">
        <v>1195</v>
      </c>
      <c r="H39" s="836">
        <v>2656</v>
      </c>
    </row>
    <row r="40" spans="1:8" ht="15.75" x14ac:dyDescent="0.25">
      <c r="A40" s="833">
        <v>32</v>
      </c>
      <c r="B40" s="833" t="s">
        <v>177</v>
      </c>
      <c r="C40" s="834" t="s">
        <v>178</v>
      </c>
      <c r="D40" s="835">
        <f t="shared" si="1"/>
        <v>2421</v>
      </c>
      <c r="E40" s="836">
        <f t="shared" si="2"/>
        <v>1453</v>
      </c>
      <c r="F40" s="836">
        <v>1017</v>
      </c>
      <c r="G40" s="836">
        <v>436</v>
      </c>
      <c r="H40" s="836">
        <v>968</v>
      </c>
    </row>
    <row r="41" spans="1:8" ht="15.75" x14ac:dyDescent="0.25">
      <c r="A41" s="833">
        <v>33</v>
      </c>
      <c r="B41" s="833" t="s">
        <v>20</v>
      </c>
      <c r="C41" s="834" t="s">
        <v>21</v>
      </c>
      <c r="D41" s="835">
        <f t="shared" si="1"/>
        <v>3756</v>
      </c>
      <c r="E41" s="836">
        <f t="shared" si="2"/>
        <v>2254</v>
      </c>
      <c r="F41" s="836">
        <v>1578</v>
      </c>
      <c r="G41" s="836">
        <v>676</v>
      </c>
      <c r="H41" s="836">
        <v>1502</v>
      </c>
    </row>
    <row r="42" spans="1:8" ht="15.75" x14ac:dyDescent="0.25">
      <c r="A42" s="833">
        <v>34</v>
      </c>
      <c r="B42" s="833" t="s">
        <v>179</v>
      </c>
      <c r="C42" s="834" t="s">
        <v>180</v>
      </c>
      <c r="D42" s="835">
        <f t="shared" si="1"/>
        <v>732</v>
      </c>
      <c r="E42" s="836">
        <f t="shared" si="2"/>
        <v>439</v>
      </c>
      <c r="F42" s="836">
        <v>307</v>
      </c>
      <c r="G42" s="836">
        <v>132</v>
      </c>
      <c r="H42" s="836">
        <v>293</v>
      </c>
    </row>
    <row r="43" spans="1:8" ht="15.75" x14ac:dyDescent="0.25">
      <c r="A43" s="833">
        <v>35</v>
      </c>
      <c r="B43" s="833" t="s">
        <v>139</v>
      </c>
      <c r="C43" s="834" t="s">
        <v>140</v>
      </c>
      <c r="D43" s="835">
        <f t="shared" si="1"/>
        <v>854</v>
      </c>
      <c r="E43" s="836">
        <f t="shared" si="2"/>
        <v>512</v>
      </c>
      <c r="F43" s="836">
        <v>358</v>
      </c>
      <c r="G43" s="836">
        <v>154</v>
      </c>
      <c r="H43" s="836">
        <v>342</v>
      </c>
    </row>
    <row r="44" spans="1:8" ht="15.75" x14ac:dyDescent="0.25">
      <c r="A44" s="833">
        <v>36</v>
      </c>
      <c r="B44" s="833" t="s">
        <v>242</v>
      </c>
      <c r="C44" s="834" t="s">
        <v>243</v>
      </c>
      <c r="D44" s="835">
        <f t="shared" si="1"/>
        <v>4230</v>
      </c>
      <c r="E44" s="836">
        <f t="shared" si="2"/>
        <v>2538</v>
      </c>
      <c r="F44" s="836">
        <v>1777</v>
      </c>
      <c r="G44" s="836">
        <v>761</v>
      </c>
      <c r="H44" s="836">
        <v>1692</v>
      </c>
    </row>
    <row r="45" spans="1:8" ht="15.75" x14ac:dyDescent="0.25">
      <c r="A45" s="833">
        <v>37</v>
      </c>
      <c r="B45" s="833" t="s">
        <v>159</v>
      </c>
      <c r="C45" s="834" t="s">
        <v>160</v>
      </c>
      <c r="D45" s="835">
        <f t="shared" si="1"/>
        <v>1565</v>
      </c>
      <c r="E45" s="836">
        <f t="shared" si="2"/>
        <v>939</v>
      </c>
      <c r="F45" s="836">
        <v>657</v>
      </c>
      <c r="G45" s="836">
        <v>282</v>
      </c>
      <c r="H45" s="836">
        <v>626</v>
      </c>
    </row>
    <row r="46" spans="1:8" ht="15.75" x14ac:dyDescent="0.25">
      <c r="A46" s="833">
        <v>38</v>
      </c>
      <c r="B46" s="833" t="s">
        <v>58</v>
      </c>
      <c r="C46" s="834" t="s">
        <v>59</v>
      </c>
      <c r="D46" s="835">
        <f t="shared" si="1"/>
        <v>5851</v>
      </c>
      <c r="E46" s="836">
        <f t="shared" si="2"/>
        <v>3511</v>
      </c>
      <c r="F46" s="836">
        <v>2458</v>
      </c>
      <c r="G46" s="836">
        <v>1053</v>
      </c>
      <c r="H46" s="836">
        <v>2340</v>
      </c>
    </row>
    <row r="47" spans="1:8" ht="15.75" x14ac:dyDescent="0.25">
      <c r="A47" s="833">
        <v>39</v>
      </c>
      <c r="B47" s="833" t="s">
        <v>119</v>
      </c>
      <c r="C47" s="834" t="s">
        <v>120</v>
      </c>
      <c r="D47" s="835">
        <f t="shared" si="1"/>
        <v>1596</v>
      </c>
      <c r="E47" s="836">
        <f t="shared" si="2"/>
        <v>958</v>
      </c>
      <c r="F47" s="836">
        <v>671</v>
      </c>
      <c r="G47" s="836">
        <v>287</v>
      </c>
      <c r="H47" s="836">
        <v>638</v>
      </c>
    </row>
    <row r="48" spans="1:8" ht="15.75" x14ac:dyDescent="0.25">
      <c r="A48" s="833">
        <v>40</v>
      </c>
      <c r="B48" s="833" t="s">
        <v>121</v>
      </c>
      <c r="C48" s="834" t="s">
        <v>122</v>
      </c>
      <c r="D48" s="835">
        <f t="shared" si="1"/>
        <v>1369</v>
      </c>
      <c r="E48" s="836">
        <f t="shared" si="2"/>
        <v>821</v>
      </c>
      <c r="F48" s="836">
        <v>575</v>
      </c>
      <c r="G48" s="836">
        <v>246</v>
      </c>
      <c r="H48" s="836">
        <v>548</v>
      </c>
    </row>
    <row r="49" spans="1:8" ht="15.75" x14ac:dyDescent="0.25">
      <c r="A49" s="833">
        <v>41</v>
      </c>
      <c r="B49" s="833" t="s">
        <v>244</v>
      </c>
      <c r="C49" s="834" t="s">
        <v>767</v>
      </c>
      <c r="D49" s="835">
        <f t="shared" si="1"/>
        <v>3094</v>
      </c>
      <c r="E49" s="836">
        <f t="shared" si="2"/>
        <v>1856</v>
      </c>
      <c r="F49" s="836">
        <v>1299</v>
      </c>
      <c r="G49" s="836">
        <v>557</v>
      </c>
      <c r="H49" s="836">
        <v>1238</v>
      </c>
    </row>
    <row r="50" spans="1:8" ht="15.75" x14ac:dyDescent="0.25">
      <c r="A50" s="833">
        <v>42</v>
      </c>
      <c r="B50" s="833" t="s">
        <v>246</v>
      </c>
      <c r="C50" s="834" t="s">
        <v>247</v>
      </c>
      <c r="D50" s="835">
        <f t="shared" si="1"/>
        <v>1015</v>
      </c>
      <c r="E50" s="836">
        <f t="shared" si="2"/>
        <v>609</v>
      </c>
      <c r="F50" s="836">
        <v>426</v>
      </c>
      <c r="G50" s="836">
        <v>183</v>
      </c>
      <c r="H50" s="836">
        <v>406</v>
      </c>
    </row>
    <row r="51" spans="1:8" ht="15.75" x14ac:dyDescent="0.25">
      <c r="A51" s="833">
        <v>43</v>
      </c>
      <c r="B51" s="833" t="s">
        <v>123</v>
      </c>
      <c r="C51" s="834" t="s">
        <v>124</v>
      </c>
      <c r="D51" s="835">
        <f t="shared" si="1"/>
        <v>1962</v>
      </c>
      <c r="E51" s="836">
        <f t="shared" si="2"/>
        <v>1177</v>
      </c>
      <c r="F51" s="836">
        <v>824</v>
      </c>
      <c r="G51" s="836">
        <v>353</v>
      </c>
      <c r="H51" s="836">
        <v>785</v>
      </c>
    </row>
    <row r="52" spans="1:8" ht="15.75" x14ac:dyDescent="0.25">
      <c r="A52" s="833">
        <v>44</v>
      </c>
      <c r="B52" s="833" t="s">
        <v>161</v>
      </c>
      <c r="C52" s="834" t="s">
        <v>162</v>
      </c>
      <c r="D52" s="835">
        <f t="shared" si="1"/>
        <v>2070</v>
      </c>
      <c r="E52" s="836">
        <f t="shared" si="2"/>
        <v>1242</v>
      </c>
      <c r="F52" s="836">
        <v>869</v>
      </c>
      <c r="G52" s="836">
        <v>373</v>
      </c>
      <c r="H52" s="836">
        <v>828</v>
      </c>
    </row>
    <row r="53" spans="1:8" ht="15.75" x14ac:dyDescent="0.25">
      <c r="A53" s="833">
        <v>45</v>
      </c>
      <c r="B53" s="833" t="s">
        <v>248</v>
      </c>
      <c r="C53" s="834" t="s">
        <v>249</v>
      </c>
      <c r="D53" s="835">
        <f t="shared" si="1"/>
        <v>1563</v>
      </c>
      <c r="E53" s="836">
        <f t="shared" si="2"/>
        <v>938</v>
      </c>
      <c r="F53" s="836">
        <v>657</v>
      </c>
      <c r="G53" s="836">
        <v>281</v>
      </c>
      <c r="H53" s="836">
        <v>625</v>
      </c>
    </row>
    <row r="54" spans="1:8" ht="15.75" x14ac:dyDescent="0.25">
      <c r="A54" s="833">
        <v>46</v>
      </c>
      <c r="B54" s="833" t="s">
        <v>250</v>
      </c>
      <c r="C54" s="834" t="s">
        <v>251</v>
      </c>
      <c r="D54" s="835">
        <f t="shared" si="1"/>
        <v>1576</v>
      </c>
      <c r="E54" s="836">
        <f t="shared" si="2"/>
        <v>946</v>
      </c>
      <c r="F54" s="836">
        <v>662</v>
      </c>
      <c r="G54" s="836">
        <v>284</v>
      </c>
      <c r="H54" s="836">
        <v>630</v>
      </c>
    </row>
    <row r="55" spans="1:8" ht="15.75" x14ac:dyDescent="0.25">
      <c r="A55" s="833">
        <v>47</v>
      </c>
      <c r="B55" s="833" t="s">
        <v>82</v>
      </c>
      <c r="C55" s="834" t="s">
        <v>83</v>
      </c>
      <c r="D55" s="835">
        <f t="shared" si="1"/>
        <v>5720</v>
      </c>
      <c r="E55" s="836">
        <f t="shared" si="2"/>
        <v>3432</v>
      </c>
      <c r="F55" s="836">
        <v>2402</v>
      </c>
      <c r="G55" s="836">
        <v>1030</v>
      </c>
      <c r="H55" s="836">
        <v>2288</v>
      </c>
    </row>
    <row r="56" spans="1:8" ht="15.75" x14ac:dyDescent="0.25">
      <c r="A56" s="833">
        <v>48</v>
      </c>
      <c r="B56" s="833" t="s">
        <v>32</v>
      </c>
      <c r="C56" s="834" t="s">
        <v>33</v>
      </c>
      <c r="D56" s="835">
        <f t="shared" si="1"/>
        <v>2004</v>
      </c>
      <c r="E56" s="836">
        <f t="shared" si="2"/>
        <v>1202</v>
      </c>
      <c r="F56" s="836">
        <v>841</v>
      </c>
      <c r="G56" s="836">
        <v>361</v>
      </c>
      <c r="H56" s="836">
        <v>802</v>
      </c>
    </row>
    <row r="57" spans="1:8" ht="15.75" x14ac:dyDescent="0.25">
      <c r="A57" s="833">
        <v>49</v>
      </c>
      <c r="B57" s="833" t="s">
        <v>125</v>
      </c>
      <c r="C57" s="834" t="s">
        <v>126</v>
      </c>
      <c r="D57" s="835">
        <f t="shared" si="1"/>
        <v>1423</v>
      </c>
      <c r="E57" s="836">
        <f t="shared" si="2"/>
        <v>854</v>
      </c>
      <c r="F57" s="836">
        <v>598</v>
      </c>
      <c r="G57" s="836">
        <v>256</v>
      </c>
      <c r="H57" s="836">
        <v>569</v>
      </c>
    </row>
    <row r="58" spans="1:8" ht="15.75" x14ac:dyDescent="0.25">
      <c r="A58" s="833">
        <v>50</v>
      </c>
      <c r="B58" s="833" t="s">
        <v>181</v>
      </c>
      <c r="C58" s="834" t="s">
        <v>182</v>
      </c>
      <c r="D58" s="835">
        <f t="shared" si="1"/>
        <v>1470</v>
      </c>
      <c r="E58" s="836">
        <f t="shared" si="2"/>
        <v>882</v>
      </c>
      <c r="F58" s="836">
        <v>617</v>
      </c>
      <c r="G58" s="836">
        <v>265</v>
      </c>
      <c r="H58" s="836">
        <v>588</v>
      </c>
    </row>
    <row r="59" spans="1:8" ht="15.75" x14ac:dyDescent="0.25">
      <c r="A59" s="833">
        <v>51</v>
      </c>
      <c r="B59" s="833" t="s">
        <v>163</v>
      </c>
      <c r="C59" s="834" t="s">
        <v>164</v>
      </c>
      <c r="D59" s="835">
        <f t="shared" si="1"/>
        <v>1852</v>
      </c>
      <c r="E59" s="836">
        <f t="shared" si="2"/>
        <v>1111</v>
      </c>
      <c r="F59" s="836">
        <v>778</v>
      </c>
      <c r="G59" s="836">
        <v>333</v>
      </c>
      <c r="H59" s="836">
        <v>741</v>
      </c>
    </row>
    <row r="60" spans="1:8" ht="15.75" x14ac:dyDescent="0.25">
      <c r="A60" s="833">
        <v>52</v>
      </c>
      <c r="B60" s="833" t="s">
        <v>252</v>
      </c>
      <c r="C60" s="834" t="s">
        <v>253</v>
      </c>
      <c r="D60" s="835">
        <f t="shared" si="1"/>
        <v>1178</v>
      </c>
      <c r="E60" s="836">
        <f t="shared" si="2"/>
        <v>707</v>
      </c>
      <c r="F60" s="836">
        <v>495</v>
      </c>
      <c r="G60" s="836">
        <v>212</v>
      </c>
      <c r="H60" s="836">
        <v>471</v>
      </c>
    </row>
    <row r="61" spans="1:8" ht="15.75" x14ac:dyDescent="0.25">
      <c r="A61" s="833">
        <v>53</v>
      </c>
      <c r="B61" s="833" t="s">
        <v>62</v>
      </c>
      <c r="C61" s="834" t="s">
        <v>63</v>
      </c>
      <c r="D61" s="835">
        <f t="shared" si="1"/>
        <v>8348</v>
      </c>
      <c r="E61" s="836">
        <f t="shared" si="2"/>
        <v>5009</v>
      </c>
      <c r="F61" s="836">
        <v>3506</v>
      </c>
      <c r="G61" s="836">
        <v>1503</v>
      </c>
      <c r="H61" s="836">
        <v>3339</v>
      </c>
    </row>
    <row r="62" spans="1:8" ht="15.75" x14ac:dyDescent="0.25">
      <c r="A62" s="833">
        <v>54</v>
      </c>
      <c r="B62" s="833" t="s">
        <v>64</v>
      </c>
      <c r="C62" s="834" t="s">
        <v>65</v>
      </c>
      <c r="D62" s="835">
        <f t="shared" si="1"/>
        <v>5175</v>
      </c>
      <c r="E62" s="836">
        <f t="shared" si="2"/>
        <v>3105</v>
      </c>
      <c r="F62" s="836">
        <v>2174</v>
      </c>
      <c r="G62" s="836">
        <v>931</v>
      </c>
      <c r="H62" s="836">
        <v>2070</v>
      </c>
    </row>
    <row r="63" spans="1:8" ht="15.75" x14ac:dyDescent="0.25">
      <c r="A63" s="833">
        <v>55</v>
      </c>
      <c r="B63" s="833" t="s">
        <v>66</v>
      </c>
      <c r="C63" s="834" t="s">
        <v>768</v>
      </c>
      <c r="D63" s="835">
        <f t="shared" si="1"/>
        <v>10905</v>
      </c>
      <c r="E63" s="836">
        <f t="shared" si="2"/>
        <v>6543</v>
      </c>
      <c r="F63" s="836">
        <v>4580</v>
      </c>
      <c r="G63" s="836">
        <v>1963</v>
      </c>
      <c r="H63" s="836">
        <v>4362</v>
      </c>
    </row>
    <row r="64" spans="1:8" ht="15.75" x14ac:dyDescent="0.25">
      <c r="A64" s="833">
        <v>56</v>
      </c>
      <c r="B64" s="833" t="s">
        <v>60</v>
      </c>
      <c r="C64" s="834" t="s">
        <v>61</v>
      </c>
      <c r="D64" s="835">
        <f t="shared" si="1"/>
        <v>6476</v>
      </c>
      <c r="E64" s="836">
        <f t="shared" si="2"/>
        <v>3886</v>
      </c>
      <c r="F64" s="836">
        <v>2720</v>
      </c>
      <c r="G64" s="836">
        <v>1166</v>
      </c>
      <c r="H64" s="836">
        <v>2590</v>
      </c>
    </row>
    <row r="65" spans="1:8" ht="15.75" x14ac:dyDescent="0.25">
      <c r="A65" s="833">
        <v>57</v>
      </c>
      <c r="B65" s="833" t="s">
        <v>183</v>
      </c>
      <c r="C65" s="834" t="s">
        <v>184</v>
      </c>
      <c r="D65" s="835">
        <f t="shared" si="1"/>
        <v>2498</v>
      </c>
      <c r="E65" s="836">
        <f t="shared" si="2"/>
        <v>1499</v>
      </c>
      <c r="F65" s="836">
        <v>1049</v>
      </c>
      <c r="G65" s="836">
        <v>450</v>
      </c>
      <c r="H65" s="836">
        <v>999</v>
      </c>
    </row>
    <row r="66" spans="1:8" ht="15.75" x14ac:dyDescent="0.25">
      <c r="A66" s="833">
        <v>58</v>
      </c>
      <c r="B66" s="833" t="s">
        <v>165</v>
      </c>
      <c r="C66" s="834" t="s">
        <v>166</v>
      </c>
      <c r="D66" s="835">
        <f t="shared" si="1"/>
        <v>1111</v>
      </c>
      <c r="E66" s="836">
        <f t="shared" si="2"/>
        <v>667</v>
      </c>
      <c r="F66" s="836">
        <v>467</v>
      </c>
      <c r="G66" s="836">
        <v>200</v>
      </c>
      <c r="H66" s="836">
        <v>444</v>
      </c>
    </row>
    <row r="67" spans="1:8" ht="15.75" x14ac:dyDescent="0.25">
      <c r="A67" s="833">
        <v>59</v>
      </c>
      <c r="B67" s="833" t="s">
        <v>86</v>
      </c>
      <c r="C67" s="834" t="s">
        <v>87</v>
      </c>
      <c r="D67" s="835">
        <f t="shared" si="1"/>
        <v>1975</v>
      </c>
      <c r="E67" s="836">
        <f t="shared" si="2"/>
        <v>1185</v>
      </c>
      <c r="F67" s="836">
        <v>830</v>
      </c>
      <c r="G67" s="836">
        <v>355</v>
      </c>
      <c r="H67" s="836">
        <v>790</v>
      </c>
    </row>
    <row r="68" spans="1:8" ht="15.75" x14ac:dyDescent="0.25">
      <c r="A68" s="833">
        <v>60</v>
      </c>
      <c r="B68" s="833" t="s">
        <v>185</v>
      </c>
      <c r="C68" s="834" t="s">
        <v>186</v>
      </c>
      <c r="D68" s="835">
        <f t="shared" si="1"/>
        <v>9045</v>
      </c>
      <c r="E68" s="836">
        <f t="shared" si="2"/>
        <v>5427</v>
      </c>
      <c r="F68" s="836">
        <v>3799</v>
      </c>
      <c r="G68" s="836">
        <v>1628</v>
      </c>
      <c r="H68" s="836">
        <v>3618</v>
      </c>
    </row>
    <row r="69" spans="1:8" ht="15.75" x14ac:dyDescent="0.25">
      <c r="A69" s="833">
        <v>61</v>
      </c>
      <c r="B69" s="833" t="s">
        <v>84</v>
      </c>
      <c r="C69" s="834" t="s">
        <v>85</v>
      </c>
      <c r="D69" s="835">
        <f t="shared" si="1"/>
        <v>4664</v>
      </c>
      <c r="E69" s="836">
        <f t="shared" si="2"/>
        <v>2798</v>
      </c>
      <c r="F69" s="836">
        <v>1959</v>
      </c>
      <c r="G69" s="836">
        <v>839</v>
      </c>
      <c r="H69" s="836">
        <v>1866</v>
      </c>
    </row>
    <row r="70" spans="1:8" ht="15.75" x14ac:dyDescent="0.25">
      <c r="A70" s="833">
        <v>62</v>
      </c>
      <c r="B70" s="833" t="s">
        <v>167</v>
      </c>
      <c r="C70" s="834" t="s">
        <v>168</v>
      </c>
      <c r="D70" s="835">
        <f t="shared" si="1"/>
        <v>901</v>
      </c>
      <c r="E70" s="836">
        <f t="shared" si="2"/>
        <v>541</v>
      </c>
      <c r="F70" s="836">
        <v>379</v>
      </c>
      <c r="G70" s="836">
        <v>162</v>
      </c>
      <c r="H70" s="836">
        <v>360</v>
      </c>
    </row>
    <row r="71" spans="1:8" ht="15.75" x14ac:dyDescent="0.25">
      <c r="A71" s="833">
        <v>63</v>
      </c>
      <c r="B71" s="833" t="s">
        <v>141</v>
      </c>
      <c r="C71" s="834" t="s">
        <v>769</v>
      </c>
      <c r="D71" s="835">
        <f t="shared" si="1"/>
        <v>4340</v>
      </c>
      <c r="E71" s="836">
        <f t="shared" si="2"/>
        <v>2604</v>
      </c>
      <c r="F71" s="836">
        <v>1823</v>
      </c>
      <c r="G71" s="836">
        <v>781</v>
      </c>
      <c r="H71" s="836">
        <v>1736</v>
      </c>
    </row>
    <row r="72" spans="1:8" ht="15.75" x14ac:dyDescent="0.25">
      <c r="A72" s="833">
        <v>64</v>
      </c>
      <c r="B72" s="833" t="s">
        <v>254</v>
      </c>
      <c r="C72" s="834" t="s">
        <v>255</v>
      </c>
      <c r="D72" s="835">
        <f t="shared" si="1"/>
        <v>1693</v>
      </c>
      <c r="E72" s="836">
        <f t="shared" si="2"/>
        <v>1016</v>
      </c>
      <c r="F72" s="836">
        <v>711</v>
      </c>
      <c r="G72" s="836">
        <v>305</v>
      </c>
      <c r="H72" s="836">
        <v>677</v>
      </c>
    </row>
    <row r="73" spans="1:8" ht="15.75" x14ac:dyDescent="0.25">
      <c r="A73" s="833">
        <v>65</v>
      </c>
      <c r="B73" s="833" t="s">
        <v>256</v>
      </c>
      <c r="C73" s="834" t="s">
        <v>257</v>
      </c>
      <c r="D73" s="835">
        <f t="shared" si="1"/>
        <v>3223</v>
      </c>
      <c r="E73" s="836">
        <f t="shared" si="2"/>
        <v>1934</v>
      </c>
      <c r="F73" s="836">
        <v>1354</v>
      </c>
      <c r="G73" s="836">
        <v>580</v>
      </c>
      <c r="H73" s="836">
        <v>1289</v>
      </c>
    </row>
    <row r="74" spans="1:8" ht="15.75" x14ac:dyDescent="0.25">
      <c r="A74" s="833">
        <v>66</v>
      </c>
      <c r="B74" s="833" t="s">
        <v>187</v>
      </c>
      <c r="C74" s="834" t="s">
        <v>188</v>
      </c>
      <c r="D74" s="835">
        <f t="shared" ref="D74:D81" si="3">E74+H74</f>
        <v>1346</v>
      </c>
      <c r="E74" s="836">
        <f t="shared" ref="E74:E81" si="4">F74+G74</f>
        <v>808</v>
      </c>
      <c r="F74" s="836">
        <v>566</v>
      </c>
      <c r="G74" s="836">
        <v>242</v>
      </c>
      <c r="H74" s="836">
        <v>538</v>
      </c>
    </row>
    <row r="75" spans="1:8" ht="15.75" x14ac:dyDescent="0.25">
      <c r="A75" s="833">
        <v>67</v>
      </c>
      <c r="B75" s="833" t="s">
        <v>76</v>
      </c>
      <c r="C75" s="834" t="s">
        <v>77</v>
      </c>
      <c r="D75" s="835">
        <f t="shared" si="3"/>
        <v>1453</v>
      </c>
      <c r="E75" s="836">
        <f t="shared" si="4"/>
        <v>872</v>
      </c>
      <c r="F75" s="836">
        <v>610</v>
      </c>
      <c r="G75" s="836">
        <v>262</v>
      </c>
      <c r="H75" s="836">
        <v>581</v>
      </c>
    </row>
    <row r="76" spans="1:8" ht="15.75" x14ac:dyDescent="0.25">
      <c r="A76" s="833">
        <v>68</v>
      </c>
      <c r="B76" s="833" t="s">
        <v>127</v>
      </c>
      <c r="C76" s="834" t="s">
        <v>128</v>
      </c>
      <c r="D76" s="835">
        <f t="shared" si="3"/>
        <v>2896</v>
      </c>
      <c r="E76" s="836">
        <f t="shared" si="4"/>
        <v>1738</v>
      </c>
      <c r="F76" s="836">
        <v>1217</v>
      </c>
      <c r="G76" s="836">
        <v>521</v>
      </c>
      <c r="H76" s="836">
        <v>1158</v>
      </c>
    </row>
    <row r="77" spans="1:8" ht="15.75" x14ac:dyDescent="0.25">
      <c r="A77" s="833">
        <v>69</v>
      </c>
      <c r="B77" s="833" t="s">
        <v>169</v>
      </c>
      <c r="C77" s="834" t="s">
        <v>770</v>
      </c>
      <c r="D77" s="835">
        <f t="shared" si="3"/>
        <v>1400</v>
      </c>
      <c r="E77" s="836">
        <f t="shared" si="4"/>
        <v>840</v>
      </c>
      <c r="F77" s="836">
        <v>588</v>
      </c>
      <c r="G77" s="836">
        <v>252</v>
      </c>
      <c r="H77" s="836">
        <v>560</v>
      </c>
    </row>
    <row r="78" spans="1:8" ht="15.75" x14ac:dyDescent="0.25">
      <c r="A78" s="833">
        <v>70</v>
      </c>
      <c r="B78" s="833" t="s">
        <v>235</v>
      </c>
      <c r="C78" s="834" t="s">
        <v>771</v>
      </c>
      <c r="D78" s="835">
        <f t="shared" si="3"/>
        <v>434</v>
      </c>
      <c r="E78" s="836">
        <f t="shared" si="4"/>
        <v>260</v>
      </c>
      <c r="F78" s="836">
        <v>182</v>
      </c>
      <c r="G78" s="836">
        <v>78</v>
      </c>
      <c r="H78" s="836">
        <v>174</v>
      </c>
    </row>
    <row r="79" spans="1:8" ht="15.75" x14ac:dyDescent="0.25">
      <c r="A79" s="833">
        <v>71</v>
      </c>
      <c r="B79" s="837" t="s">
        <v>228</v>
      </c>
      <c r="C79" s="834" t="s">
        <v>502</v>
      </c>
      <c r="D79" s="835">
        <f t="shared" si="3"/>
        <v>945</v>
      </c>
      <c r="E79" s="836">
        <f t="shared" si="4"/>
        <v>567</v>
      </c>
      <c r="F79" s="836">
        <v>397</v>
      </c>
      <c r="G79" s="836">
        <v>170</v>
      </c>
      <c r="H79" s="836">
        <v>378</v>
      </c>
    </row>
    <row r="80" spans="1:8" ht="15.75" x14ac:dyDescent="0.25">
      <c r="A80" s="833">
        <v>72</v>
      </c>
      <c r="B80" s="833" t="s">
        <v>143</v>
      </c>
      <c r="C80" s="834" t="s">
        <v>772</v>
      </c>
      <c r="D80" s="835">
        <f t="shared" si="3"/>
        <v>974</v>
      </c>
      <c r="E80" s="836">
        <f t="shared" si="4"/>
        <v>584</v>
      </c>
      <c r="F80" s="836">
        <v>409</v>
      </c>
      <c r="G80" s="836">
        <v>175</v>
      </c>
      <c r="H80" s="836">
        <v>390</v>
      </c>
    </row>
    <row r="81" spans="1:8" ht="15.75" x14ac:dyDescent="0.25">
      <c r="A81" s="833">
        <v>73</v>
      </c>
      <c r="B81" s="833" t="s">
        <v>74</v>
      </c>
      <c r="C81" s="834" t="s">
        <v>773</v>
      </c>
      <c r="D81" s="835">
        <f t="shared" si="3"/>
        <v>3048</v>
      </c>
      <c r="E81" s="836">
        <f t="shared" si="4"/>
        <v>1829</v>
      </c>
      <c r="F81" s="836">
        <v>1280</v>
      </c>
      <c r="G81" s="836">
        <v>549</v>
      </c>
      <c r="H81" s="836">
        <v>1219</v>
      </c>
    </row>
    <row r="83" spans="1:8" x14ac:dyDescent="0.25">
      <c r="D83" s="838"/>
      <c r="E83" s="838"/>
      <c r="F83" s="838"/>
      <c r="G83" s="838"/>
      <c r="H83" s="838"/>
    </row>
  </sheetData>
  <mergeCells count="11">
    <mergeCell ref="A8:C8"/>
    <mergeCell ref="A1:H1"/>
    <mergeCell ref="A3:A6"/>
    <mergeCell ref="B3:B6"/>
    <mergeCell ref="C3:C6"/>
    <mergeCell ref="D3:H3"/>
    <mergeCell ref="D4:D6"/>
    <mergeCell ref="E4:G4"/>
    <mergeCell ref="E5:E6"/>
    <mergeCell ref="F5:G5"/>
    <mergeCell ref="H5:H6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52"/>
  <sheetViews>
    <sheetView zoomScaleNormal="100" workbookViewId="0">
      <pane xSplit="3" ySplit="12" topLeftCell="D109" activePane="bottomRight" state="frozen"/>
      <selection pane="topRight" activeCell="D1" sqref="D1"/>
      <selection pane="bottomLeft" activeCell="A12" sqref="A12"/>
      <selection pane="bottomRight" activeCell="B126" sqref="B126:C126"/>
    </sheetView>
  </sheetViews>
  <sheetFormatPr defaultRowHeight="12" x14ac:dyDescent="0.2"/>
  <cols>
    <col min="1" max="1" width="4.42578125" style="175" customWidth="1"/>
    <col min="2" max="2" width="6.85546875" style="175" customWidth="1"/>
    <col min="3" max="3" width="48.42578125" style="175" customWidth="1"/>
    <col min="4" max="9" width="15.7109375" style="175" customWidth="1"/>
    <col min="10" max="16384" width="9.140625" style="175"/>
  </cols>
  <sheetData>
    <row r="1" spans="1:13" ht="30" customHeight="1" x14ac:dyDescent="0.2">
      <c r="A1" s="1054" t="s">
        <v>744</v>
      </c>
      <c r="B1" s="1054"/>
      <c r="C1" s="1054"/>
      <c r="D1" s="1054"/>
      <c r="E1" s="1054"/>
      <c r="F1" s="1054"/>
      <c r="G1" s="1054"/>
      <c r="H1" s="1054"/>
      <c r="I1" s="1054"/>
    </row>
    <row r="3" spans="1:13" ht="23.25" customHeight="1" x14ac:dyDescent="0.2">
      <c r="A3" s="1055" t="s">
        <v>0</v>
      </c>
      <c r="B3" s="1056" t="s">
        <v>356</v>
      </c>
      <c r="C3" s="1055" t="s">
        <v>2</v>
      </c>
      <c r="D3" s="1059" t="s">
        <v>451</v>
      </c>
      <c r="E3" s="1060"/>
      <c r="F3" s="1060"/>
      <c r="G3" s="1060"/>
      <c r="H3" s="1060"/>
      <c r="I3" s="1061"/>
    </row>
    <row r="4" spans="1:13" ht="15" customHeight="1" x14ac:dyDescent="0.2">
      <c r="A4" s="1055"/>
      <c r="B4" s="1057"/>
      <c r="C4" s="1055"/>
      <c r="D4" s="1062" t="s">
        <v>435</v>
      </c>
      <c r="E4" s="1063" t="s">
        <v>452</v>
      </c>
      <c r="F4" s="1063"/>
      <c r="G4" s="1063"/>
      <c r="H4" s="1063"/>
      <c r="I4" s="1063"/>
    </row>
    <row r="5" spans="1:13" s="176" customFormat="1" ht="11.25" customHeight="1" x14ac:dyDescent="0.25">
      <c r="A5" s="1055"/>
      <c r="B5" s="1057"/>
      <c r="C5" s="1055"/>
      <c r="D5" s="1062"/>
      <c r="E5" s="1063"/>
      <c r="F5" s="1063"/>
      <c r="G5" s="1063"/>
      <c r="H5" s="1063"/>
      <c r="I5" s="1063"/>
    </row>
    <row r="6" spans="1:13" ht="20.25" customHeight="1" x14ac:dyDescent="0.2">
      <c r="A6" s="1055"/>
      <c r="B6" s="1057"/>
      <c r="C6" s="1055"/>
      <c r="D6" s="1062"/>
      <c r="E6" s="1064" t="s">
        <v>436</v>
      </c>
      <c r="F6" s="1067" t="s">
        <v>437</v>
      </c>
      <c r="G6" s="1067"/>
      <c r="H6" s="1067"/>
      <c r="I6" s="1067"/>
    </row>
    <row r="7" spans="1:13" ht="34.5" customHeight="1" x14ac:dyDescent="0.2">
      <c r="A7" s="1055"/>
      <c r="B7" s="1057"/>
      <c r="C7" s="1055"/>
      <c r="D7" s="1062"/>
      <c r="E7" s="1065"/>
      <c r="F7" s="1068" t="s">
        <v>101</v>
      </c>
      <c r="G7" s="1062" t="s">
        <v>453</v>
      </c>
      <c r="H7" s="1071" t="s">
        <v>103</v>
      </c>
      <c r="I7" s="1072"/>
    </row>
    <row r="8" spans="1:13" ht="33" customHeight="1" x14ac:dyDescent="0.2">
      <c r="A8" s="1055"/>
      <c r="B8" s="1058"/>
      <c r="C8" s="1055"/>
      <c r="D8" s="1062"/>
      <c r="E8" s="1066"/>
      <c r="F8" s="1069"/>
      <c r="G8" s="1062"/>
      <c r="H8" s="797" t="s">
        <v>454</v>
      </c>
      <c r="I8" s="798" t="s">
        <v>353</v>
      </c>
    </row>
    <row r="9" spans="1:13" s="179" customFormat="1" ht="11.25" x14ac:dyDescent="0.2">
      <c r="A9" s="177">
        <v>1</v>
      </c>
      <c r="B9" s="177">
        <v>2</v>
      </c>
      <c r="C9" s="177">
        <v>3</v>
      </c>
      <c r="D9" s="178">
        <v>4</v>
      </c>
      <c r="E9" s="178">
        <v>5</v>
      </c>
      <c r="F9" s="178">
        <v>6</v>
      </c>
      <c r="G9" s="178">
        <v>7</v>
      </c>
      <c r="H9" s="178">
        <v>8</v>
      </c>
      <c r="I9" s="178">
        <v>9</v>
      </c>
    </row>
    <row r="10" spans="1:13" s="180" customFormat="1" x14ac:dyDescent="0.2">
      <c r="A10" s="1001" t="s">
        <v>360</v>
      </c>
      <c r="B10" s="1001"/>
      <c r="C10" s="1001"/>
      <c r="D10" s="341">
        <f>D11+D12</f>
        <v>973937</v>
      </c>
      <c r="E10" s="341">
        <f t="shared" ref="E10:I10" si="0">E11+E12</f>
        <v>5544</v>
      </c>
      <c r="F10" s="341">
        <f t="shared" si="0"/>
        <v>968393</v>
      </c>
      <c r="G10" s="341">
        <f t="shared" si="0"/>
        <v>197569</v>
      </c>
      <c r="H10" s="341">
        <f t="shared" si="0"/>
        <v>5957</v>
      </c>
      <c r="I10" s="341">
        <f t="shared" si="0"/>
        <v>764867</v>
      </c>
    </row>
    <row r="11" spans="1:13" x14ac:dyDescent="0.2">
      <c r="A11" s="1005" t="s">
        <v>361</v>
      </c>
      <c r="B11" s="1006"/>
      <c r="C11" s="1007"/>
      <c r="D11" s="342">
        <f>E11+F11</f>
        <v>0</v>
      </c>
      <c r="E11" s="342">
        <f>264-264</f>
        <v>0</v>
      </c>
      <c r="F11" s="342">
        <f>G11+I11</f>
        <v>0</v>
      </c>
      <c r="G11" s="342">
        <v>0</v>
      </c>
      <c r="H11" s="342"/>
      <c r="I11" s="342">
        <v>0</v>
      </c>
    </row>
    <row r="12" spans="1:13" s="180" customFormat="1" x14ac:dyDescent="0.2">
      <c r="A12" s="1005" t="s">
        <v>108</v>
      </c>
      <c r="B12" s="1006"/>
      <c r="C12" s="1007"/>
      <c r="D12" s="341">
        <f>E12+F12</f>
        <v>973937</v>
      </c>
      <c r="E12" s="341">
        <f t="shared" ref="E12:I12" si="1">SUM(E13:E149)-E91</f>
        <v>5544</v>
      </c>
      <c r="F12" s="341">
        <f t="shared" si="1"/>
        <v>968393</v>
      </c>
      <c r="G12" s="341">
        <f t="shared" si="1"/>
        <v>197569</v>
      </c>
      <c r="H12" s="341">
        <f t="shared" si="1"/>
        <v>5957</v>
      </c>
      <c r="I12" s="341">
        <f t="shared" si="1"/>
        <v>764867</v>
      </c>
    </row>
    <row r="13" spans="1:13" x14ac:dyDescent="0.2">
      <c r="A13" s="343">
        <v>1</v>
      </c>
      <c r="B13" s="344" t="s">
        <v>109</v>
      </c>
      <c r="C13" s="345" t="s">
        <v>110</v>
      </c>
      <c r="D13" s="342">
        <f>E13+F13</f>
        <v>10405</v>
      </c>
      <c r="E13" s="342">
        <v>0</v>
      </c>
      <c r="F13" s="342">
        <f>G13+H13+I13</f>
        <v>10405</v>
      </c>
      <c r="G13" s="342">
        <v>1580</v>
      </c>
      <c r="H13" s="342">
        <v>320</v>
      </c>
      <c r="I13" s="342">
        <v>8505</v>
      </c>
      <c r="K13" s="340"/>
      <c r="L13" s="340"/>
      <c r="M13" s="340"/>
    </row>
    <row r="14" spans="1:13" x14ac:dyDescent="0.2">
      <c r="A14" s="343">
        <v>2</v>
      </c>
      <c r="B14" s="346" t="s">
        <v>111</v>
      </c>
      <c r="C14" s="345" t="s">
        <v>112</v>
      </c>
      <c r="D14" s="342">
        <f t="shared" ref="D14:D77" si="2">E14+F14</f>
        <v>5574</v>
      </c>
      <c r="E14" s="342">
        <v>0</v>
      </c>
      <c r="F14" s="342">
        <f t="shared" ref="F14:F77" si="3">G14+H14+I14</f>
        <v>5574</v>
      </c>
      <c r="G14" s="342">
        <v>980</v>
      </c>
      <c r="H14" s="342">
        <v>100</v>
      </c>
      <c r="I14" s="342">
        <v>4494</v>
      </c>
      <c r="K14" s="340"/>
      <c r="L14" s="340"/>
      <c r="M14" s="340"/>
    </row>
    <row r="15" spans="1:13" x14ac:dyDescent="0.2">
      <c r="A15" s="343">
        <v>3</v>
      </c>
      <c r="B15" s="347" t="s">
        <v>80</v>
      </c>
      <c r="C15" s="348" t="s">
        <v>81</v>
      </c>
      <c r="D15" s="342">
        <f t="shared" si="2"/>
        <v>15719</v>
      </c>
      <c r="E15" s="342">
        <v>0</v>
      </c>
      <c r="F15" s="342">
        <f t="shared" si="3"/>
        <v>15719</v>
      </c>
      <c r="G15" s="342">
        <v>2209</v>
      </c>
      <c r="H15" s="342">
        <v>0</v>
      </c>
      <c r="I15" s="342">
        <v>13510</v>
      </c>
      <c r="K15" s="340"/>
      <c r="L15" s="340"/>
      <c r="M15" s="340"/>
    </row>
    <row r="16" spans="1:13" x14ac:dyDescent="0.2">
      <c r="A16" s="343">
        <v>4</v>
      </c>
      <c r="B16" s="344" t="s">
        <v>113</v>
      </c>
      <c r="C16" s="345" t="s">
        <v>114</v>
      </c>
      <c r="D16" s="342">
        <f t="shared" si="2"/>
        <v>4604</v>
      </c>
      <c r="E16" s="342">
        <v>0</v>
      </c>
      <c r="F16" s="342">
        <f t="shared" si="3"/>
        <v>4604</v>
      </c>
      <c r="G16" s="342">
        <v>604</v>
      </c>
      <c r="H16" s="342">
        <v>0</v>
      </c>
      <c r="I16" s="342">
        <v>4000</v>
      </c>
      <c r="K16" s="340"/>
      <c r="L16" s="340"/>
      <c r="M16" s="340"/>
    </row>
    <row r="17" spans="1:13" x14ac:dyDescent="0.2">
      <c r="A17" s="343">
        <v>5</v>
      </c>
      <c r="B17" s="344" t="s">
        <v>115</v>
      </c>
      <c r="C17" s="345" t="s">
        <v>116</v>
      </c>
      <c r="D17" s="342">
        <f t="shared" si="2"/>
        <v>7845</v>
      </c>
      <c r="E17" s="342">
        <v>0</v>
      </c>
      <c r="F17" s="342">
        <f t="shared" si="3"/>
        <v>7845</v>
      </c>
      <c r="G17" s="342">
        <v>840</v>
      </c>
      <c r="H17" s="342">
        <v>50</v>
      </c>
      <c r="I17" s="342">
        <v>6955</v>
      </c>
      <c r="K17" s="340"/>
      <c r="L17" s="340"/>
      <c r="M17" s="340"/>
    </row>
    <row r="18" spans="1:13" x14ac:dyDescent="0.2">
      <c r="A18" s="343">
        <v>6</v>
      </c>
      <c r="B18" s="347" t="s">
        <v>117</v>
      </c>
      <c r="C18" s="348" t="s">
        <v>118</v>
      </c>
      <c r="D18" s="342">
        <f t="shared" si="2"/>
        <v>29211</v>
      </c>
      <c r="E18" s="342">
        <v>0</v>
      </c>
      <c r="F18" s="342">
        <f t="shared" si="3"/>
        <v>29211</v>
      </c>
      <c r="G18" s="342">
        <v>4819</v>
      </c>
      <c r="H18" s="342">
        <v>0</v>
      </c>
      <c r="I18" s="342">
        <v>24392</v>
      </c>
      <c r="K18" s="340"/>
      <c r="L18" s="340"/>
      <c r="M18" s="340"/>
    </row>
    <row r="19" spans="1:13" x14ac:dyDescent="0.2">
      <c r="A19" s="343">
        <v>7</v>
      </c>
      <c r="B19" s="222" t="s">
        <v>20</v>
      </c>
      <c r="C19" s="220" t="s">
        <v>21</v>
      </c>
      <c r="D19" s="342">
        <f t="shared" si="2"/>
        <v>15284</v>
      </c>
      <c r="E19" s="342">
        <v>0</v>
      </c>
      <c r="F19" s="342">
        <f t="shared" si="3"/>
        <v>15284</v>
      </c>
      <c r="G19" s="342">
        <v>1872</v>
      </c>
      <c r="H19" s="342">
        <v>0</v>
      </c>
      <c r="I19" s="342">
        <v>13412</v>
      </c>
      <c r="K19" s="340"/>
      <c r="L19" s="340"/>
      <c r="M19" s="340"/>
    </row>
    <row r="20" spans="1:13" x14ac:dyDescent="0.2">
      <c r="A20" s="343">
        <v>8</v>
      </c>
      <c r="B20" s="347" t="s">
        <v>119</v>
      </c>
      <c r="C20" s="348" t="s">
        <v>120</v>
      </c>
      <c r="D20" s="342">
        <f t="shared" si="2"/>
        <v>3160</v>
      </c>
      <c r="E20" s="342">
        <v>0</v>
      </c>
      <c r="F20" s="342">
        <f t="shared" si="3"/>
        <v>3160</v>
      </c>
      <c r="G20" s="342">
        <v>1044</v>
      </c>
      <c r="H20" s="342">
        <v>56</v>
      </c>
      <c r="I20" s="342">
        <v>2060</v>
      </c>
      <c r="K20" s="340"/>
      <c r="L20" s="340"/>
      <c r="M20" s="340"/>
    </row>
    <row r="21" spans="1:13" x14ac:dyDescent="0.2">
      <c r="A21" s="343">
        <v>9</v>
      </c>
      <c r="B21" s="347" t="s">
        <v>121</v>
      </c>
      <c r="C21" s="348" t="s">
        <v>122</v>
      </c>
      <c r="D21" s="342">
        <f t="shared" si="2"/>
        <v>7637</v>
      </c>
      <c r="E21" s="342">
        <v>0</v>
      </c>
      <c r="F21" s="342">
        <f t="shared" si="3"/>
        <v>7637</v>
      </c>
      <c r="G21" s="342">
        <v>1274</v>
      </c>
      <c r="H21" s="342">
        <v>0</v>
      </c>
      <c r="I21" s="342">
        <v>6363</v>
      </c>
      <c r="K21" s="340"/>
      <c r="L21" s="340"/>
      <c r="M21" s="340"/>
    </row>
    <row r="22" spans="1:13" x14ac:dyDescent="0.2">
      <c r="A22" s="343">
        <v>10</v>
      </c>
      <c r="B22" s="347" t="s">
        <v>123</v>
      </c>
      <c r="C22" s="348" t="s">
        <v>124</v>
      </c>
      <c r="D22" s="342">
        <f t="shared" si="2"/>
        <v>5110</v>
      </c>
      <c r="E22" s="342">
        <v>0</v>
      </c>
      <c r="F22" s="342">
        <f t="shared" si="3"/>
        <v>5110</v>
      </c>
      <c r="G22" s="342">
        <v>560</v>
      </c>
      <c r="H22" s="342">
        <v>50</v>
      </c>
      <c r="I22" s="342">
        <v>4500</v>
      </c>
      <c r="K22" s="340"/>
      <c r="L22" s="340"/>
      <c r="M22" s="340"/>
    </row>
    <row r="23" spans="1:13" x14ac:dyDescent="0.2">
      <c r="A23" s="343">
        <v>11</v>
      </c>
      <c r="B23" s="347" t="s">
        <v>125</v>
      </c>
      <c r="C23" s="348" t="s">
        <v>126</v>
      </c>
      <c r="D23" s="342">
        <f t="shared" si="2"/>
        <v>7625</v>
      </c>
      <c r="E23" s="342">
        <v>0</v>
      </c>
      <c r="F23" s="342">
        <f t="shared" si="3"/>
        <v>7625</v>
      </c>
      <c r="G23" s="342">
        <v>845</v>
      </c>
      <c r="H23" s="342">
        <v>0</v>
      </c>
      <c r="I23" s="342">
        <v>6780</v>
      </c>
      <c r="K23" s="340"/>
      <c r="L23" s="340"/>
      <c r="M23" s="340"/>
    </row>
    <row r="24" spans="1:13" x14ac:dyDescent="0.2">
      <c r="A24" s="343">
        <v>12</v>
      </c>
      <c r="B24" s="347" t="s">
        <v>127</v>
      </c>
      <c r="C24" s="348" t="s">
        <v>128</v>
      </c>
      <c r="D24" s="342">
        <f t="shared" si="2"/>
        <v>5220</v>
      </c>
      <c r="E24" s="342">
        <v>0</v>
      </c>
      <c r="F24" s="342">
        <f t="shared" si="3"/>
        <v>5220</v>
      </c>
      <c r="G24" s="342">
        <v>1220</v>
      </c>
      <c r="H24" s="342">
        <v>0</v>
      </c>
      <c r="I24" s="342">
        <v>4000</v>
      </c>
      <c r="K24" s="340"/>
      <c r="L24" s="340"/>
      <c r="M24" s="340"/>
    </row>
    <row r="25" spans="1:13" x14ac:dyDescent="0.2">
      <c r="A25" s="343">
        <v>13</v>
      </c>
      <c r="B25" s="347" t="s">
        <v>129</v>
      </c>
      <c r="C25" s="348" t="s">
        <v>130</v>
      </c>
      <c r="D25" s="342">
        <f t="shared" si="2"/>
        <v>0</v>
      </c>
      <c r="E25" s="342">
        <v>0</v>
      </c>
      <c r="F25" s="342">
        <f t="shared" si="3"/>
        <v>0</v>
      </c>
      <c r="G25" s="342">
        <v>0</v>
      </c>
      <c r="H25" s="342">
        <v>0</v>
      </c>
      <c r="I25" s="342"/>
      <c r="K25" s="340"/>
      <c r="L25" s="340"/>
      <c r="M25" s="340"/>
    </row>
    <row r="26" spans="1:13" x14ac:dyDescent="0.2">
      <c r="A26" s="343">
        <v>14</v>
      </c>
      <c r="B26" s="347" t="s">
        <v>131</v>
      </c>
      <c r="C26" s="348" t="s">
        <v>132</v>
      </c>
      <c r="D26" s="342">
        <f t="shared" si="2"/>
        <v>8413</v>
      </c>
      <c r="E26" s="342">
        <v>0</v>
      </c>
      <c r="F26" s="342">
        <f t="shared" si="3"/>
        <v>8413</v>
      </c>
      <c r="G26" s="342">
        <v>547</v>
      </c>
      <c r="H26" s="342">
        <v>0</v>
      </c>
      <c r="I26" s="342">
        <v>7866</v>
      </c>
      <c r="K26" s="340"/>
      <c r="L26" s="340"/>
      <c r="M26" s="340"/>
    </row>
    <row r="27" spans="1:13" x14ac:dyDescent="0.2">
      <c r="A27" s="343">
        <v>15</v>
      </c>
      <c r="B27" s="347" t="s">
        <v>133</v>
      </c>
      <c r="C27" s="348" t="s">
        <v>134</v>
      </c>
      <c r="D27" s="342">
        <f t="shared" si="2"/>
        <v>3565</v>
      </c>
      <c r="E27" s="342">
        <v>0</v>
      </c>
      <c r="F27" s="342">
        <f t="shared" si="3"/>
        <v>3565</v>
      </c>
      <c r="G27" s="342">
        <v>1971</v>
      </c>
      <c r="H27" s="342">
        <v>0</v>
      </c>
      <c r="I27" s="342">
        <v>1594</v>
      </c>
      <c r="K27" s="340"/>
      <c r="L27" s="340"/>
      <c r="M27" s="340"/>
    </row>
    <row r="28" spans="1:13" x14ac:dyDescent="0.2">
      <c r="A28" s="343">
        <v>16</v>
      </c>
      <c r="B28" s="347" t="s">
        <v>135</v>
      </c>
      <c r="C28" s="348" t="s">
        <v>136</v>
      </c>
      <c r="D28" s="342">
        <f t="shared" si="2"/>
        <v>4134</v>
      </c>
      <c r="E28" s="342">
        <v>0</v>
      </c>
      <c r="F28" s="342">
        <f t="shared" si="3"/>
        <v>4134</v>
      </c>
      <c r="G28" s="342">
        <v>1493</v>
      </c>
      <c r="H28" s="342">
        <v>0</v>
      </c>
      <c r="I28" s="342">
        <v>2641</v>
      </c>
      <c r="K28" s="340"/>
      <c r="L28" s="340"/>
      <c r="M28" s="340"/>
    </row>
    <row r="29" spans="1:13" x14ac:dyDescent="0.2">
      <c r="A29" s="343">
        <v>17</v>
      </c>
      <c r="B29" s="347" t="s">
        <v>30</v>
      </c>
      <c r="C29" s="348" t="s">
        <v>31</v>
      </c>
      <c r="D29" s="342">
        <f t="shared" si="2"/>
        <v>12650</v>
      </c>
      <c r="E29" s="342">
        <v>0</v>
      </c>
      <c r="F29" s="342">
        <f t="shared" si="3"/>
        <v>12650</v>
      </c>
      <c r="G29" s="342">
        <v>2075</v>
      </c>
      <c r="H29" s="342">
        <v>0</v>
      </c>
      <c r="I29" s="342">
        <v>10575</v>
      </c>
      <c r="K29" s="340"/>
      <c r="L29" s="340"/>
      <c r="M29" s="340"/>
    </row>
    <row r="30" spans="1:13" x14ac:dyDescent="0.2">
      <c r="A30" s="343">
        <v>18</v>
      </c>
      <c r="B30" s="344" t="s">
        <v>137</v>
      </c>
      <c r="C30" s="345" t="s">
        <v>138</v>
      </c>
      <c r="D30" s="342">
        <f t="shared" si="2"/>
        <v>1778</v>
      </c>
      <c r="E30" s="342">
        <v>0</v>
      </c>
      <c r="F30" s="342">
        <f t="shared" si="3"/>
        <v>1778</v>
      </c>
      <c r="G30" s="342">
        <v>400</v>
      </c>
      <c r="H30" s="342">
        <v>0</v>
      </c>
      <c r="I30" s="342">
        <v>1378</v>
      </c>
      <c r="K30" s="340"/>
      <c r="L30" s="340"/>
      <c r="M30" s="340"/>
    </row>
    <row r="31" spans="1:13" x14ac:dyDescent="0.2">
      <c r="A31" s="343">
        <v>19</v>
      </c>
      <c r="B31" s="344" t="s">
        <v>139</v>
      </c>
      <c r="C31" s="345" t="s">
        <v>140</v>
      </c>
      <c r="D31" s="342">
        <f t="shared" si="2"/>
        <v>5009</v>
      </c>
      <c r="E31" s="342">
        <v>0</v>
      </c>
      <c r="F31" s="342">
        <f t="shared" si="3"/>
        <v>5009</v>
      </c>
      <c r="G31" s="342">
        <v>1379</v>
      </c>
      <c r="H31" s="342">
        <v>0</v>
      </c>
      <c r="I31" s="342">
        <v>3630</v>
      </c>
      <c r="K31" s="340"/>
      <c r="L31" s="340"/>
      <c r="M31" s="340"/>
    </row>
    <row r="32" spans="1:13" x14ac:dyDescent="0.2">
      <c r="A32" s="343">
        <v>20</v>
      </c>
      <c r="B32" s="344" t="s">
        <v>84</v>
      </c>
      <c r="C32" s="345" t="s">
        <v>85</v>
      </c>
      <c r="D32" s="342">
        <f t="shared" si="2"/>
        <v>8748</v>
      </c>
      <c r="E32" s="342">
        <v>0</v>
      </c>
      <c r="F32" s="342">
        <f t="shared" si="3"/>
        <v>8748</v>
      </c>
      <c r="G32" s="342">
        <v>3748</v>
      </c>
      <c r="H32" s="342">
        <v>0</v>
      </c>
      <c r="I32" s="342">
        <v>5000</v>
      </c>
      <c r="K32" s="340"/>
      <c r="L32" s="340"/>
      <c r="M32" s="340"/>
    </row>
    <row r="33" spans="1:13" x14ac:dyDescent="0.2">
      <c r="A33" s="343">
        <v>21</v>
      </c>
      <c r="B33" s="344" t="s">
        <v>141</v>
      </c>
      <c r="C33" s="345" t="s">
        <v>142</v>
      </c>
      <c r="D33" s="342">
        <f t="shared" si="2"/>
        <v>9303</v>
      </c>
      <c r="E33" s="342">
        <v>0</v>
      </c>
      <c r="F33" s="342">
        <f t="shared" si="3"/>
        <v>9303</v>
      </c>
      <c r="G33" s="342">
        <v>1515</v>
      </c>
      <c r="H33" s="342">
        <v>0</v>
      </c>
      <c r="I33" s="342">
        <v>7788</v>
      </c>
      <c r="K33" s="340"/>
      <c r="L33" s="340"/>
      <c r="M33" s="340"/>
    </row>
    <row r="34" spans="1:13" x14ac:dyDescent="0.2">
      <c r="A34" s="343">
        <v>22</v>
      </c>
      <c r="B34" s="347" t="s">
        <v>143</v>
      </c>
      <c r="C34" s="348" t="s">
        <v>144</v>
      </c>
      <c r="D34" s="342">
        <f t="shared" si="2"/>
        <v>4217</v>
      </c>
      <c r="E34" s="342">
        <v>0</v>
      </c>
      <c r="F34" s="342">
        <f t="shared" si="3"/>
        <v>4217</v>
      </c>
      <c r="G34" s="342">
        <v>450</v>
      </c>
      <c r="H34" s="342">
        <v>0</v>
      </c>
      <c r="I34" s="342">
        <v>3767</v>
      </c>
      <c r="K34" s="340"/>
      <c r="L34" s="340"/>
      <c r="M34" s="340"/>
    </row>
    <row r="35" spans="1:13" x14ac:dyDescent="0.2">
      <c r="A35" s="343">
        <v>23</v>
      </c>
      <c r="B35" s="347" t="s">
        <v>145</v>
      </c>
      <c r="C35" s="348" t="s">
        <v>146</v>
      </c>
      <c r="D35" s="342">
        <f t="shared" si="2"/>
        <v>0</v>
      </c>
      <c r="E35" s="342">
        <v>0</v>
      </c>
      <c r="F35" s="342">
        <f t="shared" si="3"/>
        <v>0</v>
      </c>
      <c r="G35" s="342">
        <v>0</v>
      </c>
      <c r="H35" s="342">
        <v>0</v>
      </c>
      <c r="I35" s="342">
        <v>0</v>
      </c>
      <c r="K35" s="340"/>
      <c r="L35" s="340"/>
      <c r="M35" s="340"/>
    </row>
    <row r="36" spans="1:13" x14ac:dyDescent="0.2">
      <c r="A36" s="343">
        <v>24</v>
      </c>
      <c r="B36" s="347" t="s">
        <v>147</v>
      </c>
      <c r="C36" s="348" t="s">
        <v>148</v>
      </c>
      <c r="D36" s="342">
        <f t="shared" si="2"/>
        <v>0</v>
      </c>
      <c r="E36" s="342">
        <v>0</v>
      </c>
      <c r="F36" s="342">
        <f t="shared" si="3"/>
        <v>0</v>
      </c>
      <c r="G36" s="342">
        <v>0</v>
      </c>
      <c r="H36" s="342">
        <v>0</v>
      </c>
      <c r="I36" s="342">
        <v>0</v>
      </c>
      <c r="K36" s="340"/>
      <c r="L36" s="340"/>
      <c r="M36" s="340"/>
    </row>
    <row r="37" spans="1:13" x14ac:dyDescent="0.2">
      <c r="A37" s="343">
        <v>25</v>
      </c>
      <c r="B37" s="344" t="s">
        <v>149</v>
      </c>
      <c r="C37" s="220" t="s">
        <v>150</v>
      </c>
      <c r="D37" s="342">
        <f t="shared" si="2"/>
        <v>153016</v>
      </c>
      <c r="E37" s="342">
        <v>0</v>
      </c>
      <c r="F37" s="342">
        <f t="shared" si="3"/>
        <v>153016</v>
      </c>
      <c r="G37" s="342">
        <v>22182</v>
      </c>
      <c r="H37" s="342">
        <v>50</v>
      </c>
      <c r="I37" s="342">
        <v>130784</v>
      </c>
      <c r="K37" s="340"/>
      <c r="L37" s="340"/>
      <c r="M37" s="340"/>
    </row>
    <row r="38" spans="1:13" x14ac:dyDescent="0.2">
      <c r="A38" s="343">
        <v>26</v>
      </c>
      <c r="B38" s="347" t="s">
        <v>151</v>
      </c>
      <c r="C38" s="348" t="s">
        <v>152</v>
      </c>
      <c r="D38" s="342">
        <f t="shared" si="2"/>
        <v>0</v>
      </c>
      <c r="E38" s="342">
        <v>0</v>
      </c>
      <c r="F38" s="342">
        <f t="shared" si="3"/>
        <v>0</v>
      </c>
      <c r="G38" s="342">
        <v>0</v>
      </c>
      <c r="H38" s="342">
        <v>0</v>
      </c>
      <c r="I38" s="342">
        <v>0</v>
      </c>
      <c r="K38" s="340"/>
      <c r="L38" s="340"/>
      <c r="M38" s="340"/>
    </row>
    <row r="39" spans="1:13" x14ac:dyDescent="0.2">
      <c r="A39" s="343">
        <v>27</v>
      </c>
      <c r="B39" s="346" t="s">
        <v>153</v>
      </c>
      <c r="C39" s="220" t="s">
        <v>154</v>
      </c>
      <c r="D39" s="342">
        <f t="shared" si="2"/>
        <v>0</v>
      </c>
      <c r="E39" s="342">
        <v>0</v>
      </c>
      <c r="F39" s="342">
        <f t="shared" si="3"/>
        <v>0</v>
      </c>
      <c r="G39" s="342">
        <v>0</v>
      </c>
      <c r="H39" s="342">
        <v>0</v>
      </c>
      <c r="I39" s="342">
        <v>0</v>
      </c>
      <c r="K39" s="340"/>
      <c r="L39" s="340"/>
      <c r="M39" s="340"/>
    </row>
    <row r="40" spans="1:13" x14ac:dyDescent="0.2">
      <c r="A40" s="343">
        <v>28</v>
      </c>
      <c r="B40" s="344" t="s">
        <v>155</v>
      </c>
      <c r="C40" s="345" t="s">
        <v>156</v>
      </c>
      <c r="D40" s="342">
        <f t="shared" si="2"/>
        <v>0</v>
      </c>
      <c r="E40" s="342">
        <v>0</v>
      </c>
      <c r="F40" s="342">
        <f t="shared" si="3"/>
        <v>0</v>
      </c>
      <c r="G40" s="342">
        <v>0</v>
      </c>
      <c r="H40" s="342">
        <v>0</v>
      </c>
      <c r="I40" s="342">
        <v>0</v>
      </c>
      <c r="K40" s="340"/>
      <c r="L40" s="340"/>
      <c r="M40" s="340"/>
    </row>
    <row r="41" spans="1:13" x14ac:dyDescent="0.2">
      <c r="A41" s="343">
        <v>29</v>
      </c>
      <c r="B41" s="346" t="s">
        <v>157</v>
      </c>
      <c r="C41" s="345" t="s">
        <v>158</v>
      </c>
      <c r="D41" s="342">
        <f t="shared" si="2"/>
        <v>14135</v>
      </c>
      <c r="E41" s="342">
        <v>0</v>
      </c>
      <c r="F41" s="342">
        <f t="shared" si="3"/>
        <v>14135</v>
      </c>
      <c r="G41" s="342">
        <v>2071</v>
      </c>
      <c r="H41" s="342">
        <v>120</v>
      </c>
      <c r="I41" s="342">
        <v>11944</v>
      </c>
      <c r="K41" s="340"/>
      <c r="L41" s="340"/>
      <c r="M41" s="340"/>
    </row>
    <row r="42" spans="1:13" x14ac:dyDescent="0.2">
      <c r="A42" s="343">
        <v>30</v>
      </c>
      <c r="B42" s="222" t="s">
        <v>46</v>
      </c>
      <c r="C42" s="220" t="s">
        <v>47</v>
      </c>
      <c r="D42" s="342">
        <f t="shared" si="2"/>
        <v>29339</v>
      </c>
      <c r="E42" s="342">
        <v>0</v>
      </c>
      <c r="F42" s="342">
        <f t="shared" si="3"/>
        <v>29339</v>
      </c>
      <c r="G42" s="342">
        <v>5966</v>
      </c>
      <c r="H42" s="342">
        <v>0</v>
      </c>
      <c r="I42" s="342">
        <v>23373</v>
      </c>
      <c r="K42" s="340"/>
      <c r="L42" s="340"/>
      <c r="M42" s="340"/>
    </row>
    <row r="43" spans="1:13" x14ac:dyDescent="0.2">
      <c r="A43" s="343">
        <v>31</v>
      </c>
      <c r="B43" s="346" t="s">
        <v>159</v>
      </c>
      <c r="C43" s="345" t="s">
        <v>160</v>
      </c>
      <c r="D43" s="342">
        <f t="shared" si="2"/>
        <v>3948</v>
      </c>
      <c r="E43" s="342">
        <v>0</v>
      </c>
      <c r="F43" s="342">
        <f t="shared" si="3"/>
        <v>3948</v>
      </c>
      <c r="G43" s="342">
        <v>511</v>
      </c>
      <c r="H43" s="342">
        <v>0</v>
      </c>
      <c r="I43" s="342">
        <v>3437</v>
      </c>
      <c r="K43" s="340"/>
      <c r="L43" s="340"/>
      <c r="M43" s="340"/>
    </row>
    <row r="44" spans="1:13" x14ac:dyDescent="0.2">
      <c r="A44" s="343">
        <v>32</v>
      </c>
      <c r="B44" s="347" t="s">
        <v>58</v>
      </c>
      <c r="C44" s="348" t="s">
        <v>59</v>
      </c>
      <c r="D44" s="342">
        <f t="shared" si="2"/>
        <v>18110</v>
      </c>
      <c r="E44" s="342">
        <v>0</v>
      </c>
      <c r="F44" s="342">
        <f t="shared" si="3"/>
        <v>18110</v>
      </c>
      <c r="G44" s="342">
        <v>2155</v>
      </c>
      <c r="H44" s="342">
        <v>275</v>
      </c>
      <c r="I44" s="342">
        <v>15680</v>
      </c>
      <c r="K44" s="340"/>
      <c r="L44" s="340"/>
      <c r="M44" s="340"/>
    </row>
    <row r="45" spans="1:13" x14ac:dyDescent="0.2">
      <c r="A45" s="343">
        <v>33</v>
      </c>
      <c r="B45" s="346" t="s">
        <v>161</v>
      </c>
      <c r="C45" s="345" t="s">
        <v>162</v>
      </c>
      <c r="D45" s="342">
        <f t="shared" si="2"/>
        <v>4823</v>
      </c>
      <c r="E45" s="342">
        <v>0</v>
      </c>
      <c r="F45" s="342">
        <f t="shared" si="3"/>
        <v>4823</v>
      </c>
      <c r="G45" s="342">
        <v>717</v>
      </c>
      <c r="H45" s="342">
        <v>356</v>
      </c>
      <c r="I45" s="342">
        <v>3750</v>
      </c>
      <c r="K45" s="340"/>
      <c r="L45" s="340"/>
      <c r="M45" s="340"/>
    </row>
    <row r="46" spans="1:13" x14ac:dyDescent="0.2">
      <c r="A46" s="343">
        <v>34</v>
      </c>
      <c r="B46" s="344" t="s">
        <v>82</v>
      </c>
      <c r="C46" s="345" t="s">
        <v>83</v>
      </c>
      <c r="D46" s="342">
        <f t="shared" si="2"/>
        <v>15796</v>
      </c>
      <c r="E46" s="342">
        <v>0</v>
      </c>
      <c r="F46" s="342">
        <f t="shared" si="3"/>
        <v>15796</v>
      </c>
      <c r="G46" s="342">
        <v>2335</v>
      </c>
      <c r="H46" s="342">
        <v>0</v>
      </c>
      <c r="I46" s="342">
        <v>13461</v>
      </c>
      <c r="K46" s="340"/>
      <c r="L46" s="340"/>
      <c r="M46" s="340"/>
    </row>
    <row r="47" spans="1:13" x14ac:dyDescent="0.2">
      <c r="A47" s="343">
        <v>35</v>
      </c>
      <c r="B47" s="349" t="s">
        <v>163</v>
      </c>
      <c r="C47" s="350" t="s">
        <v>164</v>
      </c>
      <c r="D47" s="342">
        <f t="shared" si="2"/>
        <v>5758</v>
      </c>
      <c r="E47" s="342">
        <v>0</v>
      </c>
      <c r="F47" s="342">
        <f t="shared" si="3"/>
        <v>5758</v>
      </c>
      <c r="G47" s="342">
        <v>628</v>
      </c>
      <c r="H47" s="342">
        <v>360</v>
      </c>
      <c r="I47" s="342">
        <v>4770</v>
      </c>
      <c r="K47" s="340"/>
      <c r="L47" s="340"/>
      <c r="M47" s="340"/>
    </row>
    <row r="48" spans="1:13" x14ac:dyDescent="0.2">
      <c r="A48" s="343">
        <v>36</v>
      </c>
      <c r="B48" s="344" t="s">
        <v>165</v>
      </c>
      <c r="C48" s="345" t="s">
        <v>166</v>
      </c>
      <c r="D48" s="342">
        <f t="shared" si="2"/>
        <v>4060</v>
      </c>
      <c r="E48" s="342">
        <v>0</v>
      </c>
      <c r="F48" s="342">
        <f t="shared" si="3"/>
        <v>4060</v>
      </c>
      <c r="G48" s="342">
        <v>800</v>
      </c>
      <c r="H48" s="342">
        <v>0</v>
      </c>
      <c r="I48" s="342">
        <v>3260</v>
      </c>
      <c r="K48" s="340"/>
      <c r="L48" s="340"/>
      <c r="M48" s="340"/>
    </row>
    <row r="49" spans="1:13" x14ac:dyDescent="0.2">
      <c r="A49" s="343">
        <v>37</v>
      </c>
      <c r="B49" s="222" t="s">
        <v>86</v>
      </c>
      <c r="C49" s="220" t="s">
        <v>87</v>
      </c>
      <c r="D49" s="342">
        <f t="shared" si="2"/>
        <v>7137</v>
      </c>
      <c r="E49" s="342">
        <v>0</v>
      </c>
      <c r="F49" s="342">
        <f t="shared" si="3"/>
        <v>7137</v>
      </c>
      <c r="G49" s="342">
        <v>1204</v>
      </c>
      <c r="H49" s="342">
        <v>0</v>
      </c>
      <c r="I49" s="342">
        <v>5933</v>
      </c>
      <c r="K49" s="340"/>
      <c r="L49" s="340"/>
      <c r="M49" s="340"/>
    </row>
    <row r="50" spans="1:13" x14ac:dyDescent="0.2">
      <c r="A50" s="343">
        <v>38</v>
      </c>
      <c r="B50" s="347" t="s">
        <v>167</v>
      </c>
      <c r="C50" s="348" t="s">
        <v>168</v>
      </c>
      <c r="D50" s="342">
        <f t="shared" si="2"/>
        <v>2186</v>
      </c>
      <c r="E50" s="342">
        <v>0</v>
      </c>
      <c r="F50" s="342">
        <f t="shared" si="3"/>
        <v>2186</v>
      </c>
      <c r="G50" s="342">
        <v>488</v>
      </c>
      <c r="H50" s="342">
        <v>12</v>
      </c>
      <c r="I50" s="342">
        <v>1686</v>
      </c>
      <c r="K50" s="340"/>
      <c r="L50" s="340"/>
      <c r="M50" s="340"/>
    </row>
    <row r="51" spans="1:13" x14ac:dyDescent="0.2">
      <c r="A51" s="343">
        <v>39</v>
      </c>
      <c r="B51" s="346" t="s">
        <v>169</v>
      </c>
      <c r="C51" s="345" t="s">
        <v>170</v>
      </c>
      <c r="D51" s="342">
        <f t="shared" si="2"/>
        <v>0</v>
      </c>
      <c r="E51" s="342">
        <v>0</v>
      </c>
      <c r="F51" s="342">
        <f t="shared" si="3"/>
        <v>0</v>
      </c>
      <c r="G51" s="342">
        <v>0</v>
      </c>
      <c r="H51" s="342">
        <v>0</v>
      </c>
      <c r="I51" s="342">
        <v>0</v>
      </c>
      <c r="K51" s="340"/>
      <c r="L51" s="340"/>
      <c r="M51" s="340"/>
    </row>
    <row r="52" spans="1:13" x14ac:dyDescent="0.2">
      <c r="A52" s="343">
        <v>40</v>
      </c>
      <c r="B52" s="347" t="s">
        <v>171</v>
      </c>
      <c r="C52" s="348" t="s">
        <v>172</v>
      </c>
      <c r="D52" s="342">
        <f t="shared" si="2"/>
        <v>16400</v>
      </c>
      <c r="E52" s="342">
        <v>0</v>
      </c>
      <c r="F52" s="342">
        <f t="shared" si="3"/>
        <v>16400</v>
      </c>
      <c r="G52" s="342">
        <v>3000</v>
      </c>
      <c r="H52" s="342">
        <v>0</v>
      </c>
      <c r="I52" s="342">
        <v>13400</v>
      </c>
      <c r="K52" s="340"/>
      <c r="L52" s="340"/>
      <c r="M52" s="340"/>
    </row>
    <row r="53" spans="1:13" x14ac:dyDescent="0.2">
      <c r="A53" s="343">
        <v>41</v>
      </c>
      <c r="B53" s="344" t="s">
        <v>78</v>
      </c>
      <c r="C53" s="345" t="s">
        <v>79</v>
      </c>
      <c r="D53" s="342">
        <f t="shared" si="2"/>
        <v>5831</v>
      </c>
      <c r="E53" s="342">
        <v>0</v>
      </c>
      <c r="F53" s="342">
        <f t="shared" si="3"/>
        <v>5831</v>
      </c>
      <c r="G53" s="342">
        <v>796</v>
      </c>
      <c r="H53" s="342">
        <v>211</v>
      </c>
      <c r="I53" s="342">
        <v>4824</v>
      </c>
      <c r="K53" s="340"/>
      <c r="L53" s="340"/>
      <c r="M53" s="340"/>
    </row>
    <row r="54" spans="1:13" x14ac:dyDescent="0.2">
      <c r="A54" s="343">
        <v>42</v>
      </c>
      <c r="B54" s="344" t="s">
        <v>173</v>
      </c>
      <c r="C54" s="345" t="s">
        <v>174</v>
      </c>
      <c r="D54" s="342">
        <f t="shared" si="2"/>
        <v>12376</v>
      </c>
      <c r="E54" s="342">
        <v>0</v>
      </c>
      <c r="F54" s="342">
        <f t="shared" si="3"/>
        <v>12376</v>
      </c>
      <c r="G54" s="342">
        <v>2676</v>
      </c>
      <c r="H54" s="342">
        <v>0</v>
      </c>
      <c r="I54" s="342">
        <v>9700</v>
      </c>
      <c r="K54" s="340"/>
      <c r="L54" s="340"/>
      <c r="M54" s="340"/>
    </row>
    <row r="55" spans="1:13" x14ac:dyDescent="0.2">
      <c r="A55" s="343">
        <v>43</v>
      </c>
      <c r="B55" s="347" t="s">
        <v>175</v>
      </c>
      <c r="C55" s="348" t="s">
        <v>176</v>
      </c>
      <c r="D55" s="342">
        <f t="shared" si="2"/>
        <v>3571</v>
      </c>
      <c r="E55" s="342">
        <v>0</v>
      </c>
      <c r="F55" s="342">
        <f t="shared" si="3"/>
        <v>3571</v>
      </c>
      <c r="G55" s="342">
        <v>830</v>
      </c>
      <c r="H55" s="342">
        <v>0</v>
      </c>
      <c r="I55" s="342">
        <v>2741</v>
      </c>
      <c r="K55" s="340"/>
      <c r="L55" s="340"/>
      <c r="M55" s="340"/>
    </row>
    <row r="56" spans="1:13" x14ac:dyDescent="0.2">
      <c r="A56" s="343">
        <v>44</v>
      </c>
      <c r="B56" s="347" t="s">
        <v>42</v>
      </c>
      <c r="C56" s="348" t="s">
        <v>43</v>
      </c>
      <c r="D56" s="342">
        <f t="shared" si="2"/>
        <v>11350</v>
      </c>
      <c r="E56" s="342">
        <v>0</v>
      </c>
      <c r="F56" s="342">
        <f t="shared" si="3"/>
        <v>11350</v>
      </c>
      <c r="G56" s="342">
        <v>1436</v>
      </c>
      <c r="H56" s="342">
        <v>14</v>
      </c>
      <c r="I56" s="342">
        <v>9900</v>
      </c>
      <c r="K56" s="340"/>
      <c r="L56" s="340"/>
      <c r="M56" s="340"/>
    </row>
    <row r="57" spans="1:13" x14ac:dyDescent="0.2">
      <c r="A57" s="343">
        <v>45</v>
      </c>
      <c r="B57" s="346" t="s">
        <v>177</v>
      </c>
      <c r="C57" s="345" t="s">
        <v>178</v>
      </c>
      <c r="D57" s="342">
        <f t="shared" si="2"/>
        <v>5933</v>
      </c>
      <c r="E57" s="342">
        <v>0</v>
      </c>
      <c r="F57" s="342">
        <f t="shared" si="3"/>
        <v>5933</v>
      </c>
      <c r="G57" s="342">
        <v>1433</v>
      </c>
      <c r="H57" s="342">
        <v>0</v>
      </c>
      <c r="I57" s="342">
        <v>4500</v>
      </c>
      <c r="K57" s="340"/>
      <c r="L57" s="340"/>
      <c r="M57" s="340"/>
    </row>
    <row r="58" spans="1:13" x14ac:dyDescent="0.2">
      <c r="A58" s="343">
        <v>46</v>
      </c>
      <c r="B58" s="347" t="s">
        <v>179</v>
      </c>
      <c r="C58" s="348" t="s">
        <v>180</v>
      </c>
      <c r="D58" s="342">
        <f t="shared" si="2"/>
        <v>5122</v>
      </c>
      <c r="E58" s="342">
        <v>0</v>
      </c>
      <c r="F58" s="342">
        <f t="shared" si="3"/>
        <v>5122</v>
      </c>
      <c r="G58" s="342">
        <v>306</v>
      </c>
      <c r="H58" s="342">
        <v>137</v>
      </c>
      <c r="I58" s="342">
        <v>4679</v>
      </c>
      <c r="K58" s="340"/>
      <c r="L58" s="340"/>
      <c r="M58" s="340"/>
    </row>
    <row r="59" spans="1:13" x14ac:dyDescent="0.2">
      <c r="A59" s="343">
        <v>47</v>
      </c>
      <c r="B59" s="346" t="s">
        <v>181</v>
      </c>
      <c r="C59" s="345" t="s">
        <v>182</v>
      </c>
      <c r="D59" s="342">
        <f t="shared" si="2"/>
        <v>10519</v>
      </c>
      <c r="E59" s="342">
        <v>0</v>
      </c>
      <c r="F59" s="342">
        <f t="shared" si="3"/>
        <v>10519</v>
      </c>
      <c r="G59" s="342">
        <v>1530</v>
      </c>
      <c r="H59" s="342">
        <v>0</v>
      </c>
      <c r="I59" s="342">
        <v>8989</v>
      </c>
      <c r="K59" s="340"/>
      <c r="L59" s="340"/>
      <c r="M59" s="340"/>
    </row>
    <row r="60" spans="1:13" x14ac:dyDescent="0.2">
      <c r="A60" s="343">
        <v>48</v>
      </c>
      <c r="B60" s="347" t="s">
        <v>183</v>
      </c>
      <c r="C60" s="348" t="s">
        <v>184</v>
      </c>
      <c r="D60" s="342">
        <f t="shared" si="2"/>
        <v>14370</v>
      </c>
      <c r="E60" s="342">
        <v>0</v>
      </c>
      <c r="F60" s="342">
        <f t="shared" si="3"/>
        <v>14370</v>
      </c>
      <c r="G60" s="342">
        <v>1230</v>
      </c>
      <c r="H60" s="342">
        <v>0</v>
      </c>
      <c r="I60" s="342">
        <v>13140</v>
      </c>
      <c r="K60" s="340"/>
      <c r="L60" s="340"/>
      <c r="M60" s="340"/>
    </row>
    <row r="61" spans="1:13" x14ac:dyDescent="0.2">
      <c r="A61" s="343">
        <v>49</v>
      </c>
      <c r="B61" s="347" t="s">
        <v>185</v>
      </c>
      <c r="C61" s="348" t="s">
        <v>186</v>
      </c>
      <c r="D61" s="342">
        <f t="shared" si="2"/>
        <v>23703</v>
      </c>
      <c r="E61" s="342">
        <v>0</v>
      </c>
      <c r="F61" s="342">
        <f t="shared" si="3"/>
        <v>23703</v>
      </c>
      <c r="G61" s="342">
        <v>7075</v>
      </c>
      <c r="H61" s="342">
        <v>100</v>
      </c>
      <c r="I61" s="342">
        <v>16528</v>
      </c>
      <c r="K61" s="340"/>
      <c r="L61" s="340"/>
      <c r="M61" s="340"/>
    </row>
    <row r="62" spans="1:13" x14ac:dyDescent="0.2">
      <c r="A62" s="343">
        <v>50</v>
      </c>
      <c r="B62" s="347" t="s">
        <v>187</v>
      </c>
      <c r="C62" s="348" t="s">
        <v>188</v>
      </c>
      <c r="D62" s="342">
        <f t="shared" si="2"/>
        <v>5320</v>
      </c>
      <c r="E62" s="342">
        <v>0</v>
      </c>
      <c r="F62" s="342">
        <f t="shared" si="3"/>
        <v>5320</v>
      </c>
      <c r="G62" s="342">
        <v>388</v>
      </c>
      <c r="H62" s="342">
        <v>72</v>
      </c>
      <c r="I62" s="342">
        <v>4860</v>
      </c>
      <c r="K62" s="340"/>
      <c r="L62" s="340"/>
      <c r="M62" s="340"/>
    </row>
    <row r="63" spans="1:13" x14ac:dyDescent="0.2">
      <c r="A63" s="343">
        <v>51</v>
      </c>
      <c r="B63" s="347" t="s">
        <v>189</v>
      </c>
      <c r="C63" s="348" t="s">
        <v>190</v>
      </c>
      <c r="D63" s="342">
        <f t="shared" si="2"/>
        <v>0</v>
      </c>
      <c r="E63" s="342">
        <v>0</v>
      </c>
      <c r="F63" s="342">
        <f t="shared" si="3"/>
        <v>0</v>
      </c>
      <c r="G63" s="342">
        <v>0</v>
      </c>
      <c r="H63" s="342">
        <v>0</v>
      </c>
      <c r="I63" s="342">
        <v>0</v>
      </c>
      <c r="K63" s="340"/>
      <c r="L63" s="340"/>
      <c r="M63" s="340"/>
    </row>
    <row r="64" spans="1:13" x14ac:dyDescent="0.2">
      <c r="A64" s="343">
        <v>52</v>
      </c>
      <c r="B64" s="219" t="s">
        <v>191</v>
      </c>
      <c r="C64" s="220" t="s">
        <v>192</v>
      </c>
      <c r="D64" s="342">
        <f t="shared" si="2"/>
        <v>0</v>
      </c>
      <c r="E64" s="342">
        <v>0</v>
      </c>
      <c r="F64" s="342">
        <f t="shared" si="3"/>
        <v>0</v>
      </c>
      <c r="G64" s="342">
        <v>0</v>
      </c>
      <c r="H64" s="342">
        <v>0</v>
      </c>
      <c r="I64" s="342">
        <v>0</v>
      </c>
      <c r="K64" s="340"/>
      <c r="L64" s="340"/>
      <c r="M64" s="340"/>
    </row>
    <row r="65" spans="1:13" x14ac:dyDescent="0.2">
      <c r="A65" s="343">
        <v>53</v>
      </c>
      <c r="B65" s="347" t="s">
        <v>22</v>
      </c>
      <c r="C65" s="348" t="s">
        <v>23</v>
      </c>
      <c r="D65" s="342">
        <f t="shared" si="2"/>
        <v>0</v>
      </c>
      <c r="E65" s="342">
        <v>0</v>
      </c>
      <c r="F65" s="342">
        <f t="shared" si="3"/>
        <v>0</v>
      </c>
      <c r="G65" s="342">
        <v>0</v>
      </c>
      <c r="H65" s="342">
        <v>0</v>
      </c>
      <c r="I65" s="342">
        <v>0</v>
      </c>
      <c r="K65" s="340"/>
      <c r="L65" s="340"/>
      <c r="M65" s="340"/>
    </row>
    <row r="66" spans="1:13" x14ac:dyDescent="0.2">
      <c r="A66" s="343">
        <v>54</v>
      </c>
      <c r="B66" s="346" t="s">
        <v>24</v>
      </c>
      <c r="C66" s="348" t="s">
        <v>455</v>
      </c>
      <c r="D66" s="342">
        <f t="shared" si="2"/>
        <v>0</v>
      </c>
      <c r="E66" s="342">
        <v>0</v>
      </c>
      <c r="F66" s="342">
        <f t="shared" si="3"/>
        <v>0</v>
      </c>
      <c r="G66" s="342">
        <v>0</v>
      </c>
      <c r="H66" s="342">
        <v>0</v>
      </c>
      <c r="I66" s="342">
        <v>0</v>
      </c>
      <c r="K66" s="340"/>
      <c r="L66" s="340"/>
      <c r="M66" s="340"/>
    </row>
    <row r="67" spans="1:13" x14ac:dyDescent="0.2">
      <c r="A67" s="343">
        <v>55</v>
      </c>
      <c r="B67" s="222" t="s">
        <v>193</v>
      </c>
      <c r="C67" s="220" t="s">
        <v>194</v>
      </c>
      <c r="D67" s="342">
        <f t="shared" si="2"/>
        <v>0</v>
      </c>
      <c r="E67" s="342">
        <v>0</v>
      </c>
      <c r="F67" s="342">
        <f t="shared" si="3"/>
        <v>0</v>
      </c>
      <c r="G67" s="342">
        <v>0</v>
      </c>
      <c r="H67" s="342">
        <v>0</v>
      </c>
      <c r="I67" s="342">
        <v>0</v>
      </c>
      <c r="K67" s="340"/>
      <c r="L67" s="340"/>
      <c r="M67" s="340"/>
    </row>
    <row r="68" spans="1:13" x14ac:dyDescent="0.2">
      <c r="A68" s="343">
        <v>56</v>
      </c>
      <c r="B68" s="346" t="s">
        <v>26</v>
      </c>
      <c r="C68" s="348" t="s">
        <v>456</v>
      </c>
      <c r="D68" s="342">
        <f t="shared" si="2"/>
        <v>0</v>
      </c>
      <c r="E68" s="342">
        <v>0</v>
      </c>
      <c r="F68" s="342">
        <f t="shared" si="3"/>
        <v>0</v>
      </c>
      <c r="G68" s="342">
        <v>0</v>
      </c>
      <c r="H68" s="342">
        <v>0</v>
      </c>
      <c r="I68" s="342">
        <v>0</v>
      </c>
      <c r="K68" s="340"/>
      <c r="L68" s="340"/>
      <c r="M68" s="340"/>
    </row>
    <row r="69" spans="1:13" x14ac:dyDescent="0.2">
      <c r="A69" s="343">
        <v>57</v>
      </c>
      <c r="B69" s="347" t="s">
        <v>28</v>
      </c>
      <c r="C69" s="348" t="s">
        <v>29</v>
      </c>
      <c r="D69" s="342">
        <f t="shared" si="2"/>
        <v>0</v>
      </c>
      <c r="E69" s="342">
        <v>0</v>
      </c>
      <c r="F69" s="342">
        <f t="shared" si="3"/>
        <v>0</v>
      </c>
      <c r="G69" s="342">
        <v>0</v>
      </c>
      <c r="H69" s="342">
        <v>0</v>
      </c>
      <c r="I69" s="342">
        <v>0</v>
      </c>
      <c r="K69" s="340"/>
      <c r="L69" s="340"/>
      <c r="M69" s="340"/>
    </row>
    <row r="70" spans="1:13" x14ac:dyDescent="0.2">
      <c r="A70" s="343">
        <v>58</v>
      </c>
      <c r="B70" s="344" t="s">
        <v>196</v>
      </c>
      <c r="C70" s="348" t="s">
        <v>457</v>
      </c>
      <c r="D70" s="342">
        <f t="shared" si="2"/>
        <v>0</v>
      </c>
      <c r="E70" s="342">
        <v>0</v>
      </c>
      <c r="F70" s="342">
        <f t="shared" si="3"/>
        <v>0</v>
      </c>
      <c r="G70" s="342">
        <v>0</v>
      </c>
      <c r="H70" s="342">
        <v>0</v>
      </c>
      <c r="I70" s="342">
        <v>0</v>
      </c>
      <c r="K70" s="340"/>
      <c r="L70" s="340"/>
      <c r="M70" s="340"/>
    </row>
    <row r="71" spans="1:13" x14ac:dyDescent="0.2">
      <c r="A71" s="343">
        <v>59</v>
      </c>
      <c r="B71" s="344" t="s">
        <v>198</v>
      </c>
      <c r="C71" s="348" t="s">
        <v>458</v>
      </c>
      <c r="D71" s="342">
        <f t="shared" si="2"/>
        <v>0</v>
      </c>
      <c r="E71" s="342">
        <v>0</v>
      </c>
      <c r="F71" s="342">
        <f t="shared" si="3"/>
        <v>0</v>
      </c>
      <c r="G71" s="342">
        <v>0</v>
      </c>
      <c r="H71" s="342">
        <v>0</v>
      </c>
      <c r="I71" s="342">
        <v>0</v>
      </c>
      <c r="K71" s="340"/>
      <c r="L71" s="340"/>
      <c r="M71" s="340"/>
    </row>
    <row r="72" spans="1:13" x14ac:dyDescent="0.2">
      <c r="A72" s="343">
        <v>60</v>
      </c>
      <c r="B72" s="346" t="s">
        <v>62</v>
      </c>
      <c r="C72" s="348" t="s">
        <v>459</v>
      </c>
      <c r="D72" s="342">
        <f t="shared" si="2"/>
        <v>15402</v>
      </c>
      <c r="E72" s="342">
        <v>0</v>
      </c>
      <c r="F72" s="342">
        <f t="shared" si="3"/>
        <v>15402</v>
      </c>
      <c r="G72" s="342">
        <v>5402</v>
      </c>
      <c r="H72" s="342">
        <v>0</v>
      </c>
      <c r="I72" s="342">
        <v>10000</v>
      </c>
      <c r="K72" s="340"/>
      <c r="L72" s="340"/>
      <c r="M72" s="340"/>
    </row>
    <row r="73" spans="1:13" x14ac:dyDescent="0.2">
      <c r="A73" s="343">
        <v>61</v>
      </c>
      <c r="B73" s="346" t="s">
        <v>64</v>
      </c>
      <c r="C73" s="345" t="s">
        <v>201</v>
      </c>
      <c r="D73" s="342">
        <f t="shared" si="2"/>
        <v>20415</v>
      </c>
      <c r="E73" s="342">
        <v>0</v>
      </c>
      <c r="F73" s="342">
        <f t="shared" si="3"/>
        <v>20415</v>
      </c>
      <c r="G73" s="342">
        <v>6100</v>
      </c>
      <c r="H73" s="342">
        <v>0</v>
      </c>
      <c r="I73" s="342">
        <v>14315</v>
      </c>
      <c r="K73" s="340"/>
      <c r="L73" s="340"/>
      <c r="M73" s="340"/>
    </row>
    <row r="74" spans="1:13" x14ac:dyDescent="0.2">
      <c r="A74" s="343">
        <v>62</v>
      </c>
      <c r="B74" s="346" t="s">
        <v>66</v>
      </c>
      <c r="C74" s="348" t="s">
        <v>460</v>
      </c>
      <c r="D74" s="342">
        <f t="shared" si="2"/>
        <v>60904</v>
      </c>
      <c r="E74" s="342">
        <v>0</v>
      </c>
      <c r="F74" s="342">
        <f t="shared" si="3"/>
        <v>60904</v>
      </c>
      <c r="G74" s="342">
        <v>9311</v>
      </c>
      <c r="H74" s="342">
        <v>0</v>
      </c>
      <c r="I74" s="342">
        <v>51593</v>
      </c>
      <c r="K74" s="340"/>
      <c r="L74" s="340"/>
      <c r="M74" s="340"/>
    </row>
    <row r="75" spans="1:13" ht="16.5" customHeight="1" x14ac:dyDescent="0.2">
      <c r="A75" s="343">
        <v>63</v>
      </c>
      <c r="B75" s="346" t="s">
        <v>203</v>
      </c>
      <c r="C75" s="348" t="s">
        <v>461</v>
      </c>
      <c r="D75" s="342">
        <f t="shared" si="2"/>
        <v>7</v>
      </c>
      <c r="E75" s="342">
        <v>0</v>
      </c>
      <c r="F75" s="342">
        <f t="shared" si="3"/>
        <v>7</v>
      </c>
      <c r="G75" s="342">
        <v>0</v>
      </c>
      <c r="H75" s="342">
        <v>7</v>
      </c>
      <c r="I75" s="342">
        <v>0</v>
      </c>
      <c r="K75" s="340"/>
      <c r="L75" s="340"/>
      <c r="M75" s="340"/>
    </row>
    <row r="76" spans="1:13" ht="16.5" customHeight="1" x14ac:dyDescent="0.2">
      <c r="A76" s="343">
        <v>64</v>
      </c>
      <c r="B76" s="344" t="s">
        <v>205</v>
      </c>
      <c r="C76" s="348" t="s">
        <v>462</v>
      </c>
      <c r="D76" s="342">
        <f t="shared" si="2"/>
        <v>0</v>
      </c>
      <c r="E76" s="342">
        <v>0</v>
      </c>
      <c r="F76" s="342">
        <f t="shared" si="3"/>
        <v>0</v>
      </c>
      <c r="G76" s="342">
        <v>0</v>
      </c>
      <c r="H76" s="342">
        <v>0</v>
      </c>
      <c r="I76" s="342">
        <v>0</v>
      </c>
      <c r="K76" s="340"/>
      <c r="L76" s="340"/>
      <c r="M76" s="340"/>
    </row>
    <row r="77" spans="1:13" ht="16.5" customHeight="1" x14ac:dyDescent="0.2">
      <c r="A77" s="343">
        <v>65</v>
      </c>
      <c r="B77" s="346" t="s">
        <v>207</v>
      </c>
      <c r="C77" s="348" t="s">
        <v>463</v>
      </c>
      <c r="D77" s="342">
        <f t="shared" si="2"/>
        <v>13</v>
      </c>
      <c r="E77" s="342">
        <v>0</v>
      </c>
      <c r="F77" s="342">
        <f t="shared" si="3"/>
        <v>13</v>
      </c>
      <c r="G77" s="342">
        <v>0</v>
      </c>
      <c r="H77" s="342">
        <v>13</v>
      </c>
      <c r="I77" s="342">
        <v>0</v>
      </c>
      <c r="K77" s="340"/>
      <c r="L77" s="340"/>
      <c r="M77" s="340"/>
    </row>
    <row r="78" spans="1:13" ht="16.5" customHeight="1" x14ac:dyDescent="0.2">
      <c r="A78" s="343">
        <v>66</v>
      </c>
      <c r="B78" s="346" t="s">
        <v>209</v>
      </c>
      <c r="C78" s="348" t="s">
        <v>464</v>
      </c>
      <c r="D78" s="342">
        <f t="shared" ref="D78:D141" si="4">E78+F78</f>
        <v>571</v>
      </c>
      <c r="E78" s="342">
        <v>0</v>
      </c>
      <c r="F78" s="342">
        <f t="shared" ref="F78:F141" si="5">G78+H78+I78</f>
        <v>571</v>
      </c>
      <c r="G78" s="342">
        <v>0</v>
      </c>
      <c r="H78" s="342">
        <v>571</v>
      </c>
      <c r="I78" s="342">
        <v>0</v>
      </c>
      <c r="K78" s="340"/>
      <c r="L78" s="340"/>
      <c r="M78" s="340"/>
    </row>
    <row r="79" spans="1:13" ht="16.5" customHeight="1" x14ac:dyDescent="0.2">
      <c r="A79" s="343">
        <v>67</v>
      </c>
      <c r="B79" s="344" t="s">
        <v>211</v>
      </c>
      <c r="C79" s="348" t="s">
        <v>465</v>
      </c>
      <c r="D79" s="342">
        <f t="shared" si="4"/>
        <v>0</v>
      </c>
      <c r="E79" s="342">
        <v>0</v>
      </c>
      <c r="F79" s="342">
        <f t="shared" si="5"/>
        <v>0</v>
      </c>
      <c r="G79" s="342">
        <v>0</v>
      </c>
      <c r="H79" s="342">
        <v>0</v>
      </c>
      <c r="I79" s="342">
        <v>0</v>
      </c>
      <c r="K79" s="340"/>
      <c r="L79" s="340"/>
      <c r="M79" s="340"/>
    </row>
    <row r="80" spans="1:13" ht="16.5" customHeight="1" x14ac:dyDescent="0.2">
      <c r="A80" s="343">
        <v>68</v>
      </c>
      <c r="B80" s="344" t="s">
        <v>213</v>
      </c>
      <c r="C80" s="348" t="s">
        <v>466</v>
      </c>
      <c r="D80" s="342">
        <f t="shared" si="4"/>
        <v>6</v>
      </c>
      <c r="E80" s="342">
        <v>0</v>
      </c>
      <c r="F80" s="342">
        <f t="shared" si="5"/>
        <v>6</v>
      </c>
      <c r="G80" s="342">
        <v>0</v>
      </c>
      <c r="H80" s="342">
        <v>6</v>
      </c>
      <c r="I80" s="342">
        <v>0</v>
      </c>
      <c r="K80" s="340"/>
      <c r="L80" s="340"/>
      <c r="M80" s="340"/>
    </row>
    <row r="81" spans="1:13" ht="16.5" customHeight="1" x14ac:dyDescent="0.2">
      <c r="A81" s="343">
        <v>69</v>
      </c>
      <c r="B81" s="344" t="s">
        <v>215</v>
      </c>
      <c r="C81" s="348" t="s">
        <v>467</v>
      </c>
      <c r="D81" s="342">
        <f t="shared" si="4"/>
        <v>0</v>
      </c>
      <c r="E81" s="342">
        <v>0</v>
      </c>
      <c r="F81" s="342">
        <f t="shared" si="5"/>
        <v>0</v>
      </c>
      <c r="G81" s="342">
        <v>0</v>
      </c>
      <c r="H81" s="342">
        <v>0</v>
      </c>
      <c r="I81" s="342">
        <v>0</v>
      </c>
      <c r="K81" s="340"/>
      <c r="L81" s="340"/>
      <c r="M81" s="340"/>
    </row>
    <row r="82" spans="1:13" x14ac:dyDescent="0.2">
      <c r="A82" s="343">
        <v>70</v>
      </c>
      <c r="B82" s="347" t="s">
        <v>217</v>
      </c>
      <c r="C82" s="348" t="s">
        <v>218</v>
      </c>
      <c r="D82" s="342">
        <f t="shared" si="4"/>
        <v>19376</v>
      </c>
      <c r="E82" s="342">
        <v>0</v>
      </c>
      <c r="F82" s="342">
        <f t="shared" si="5"/>
        <v>19376</v>
      </c>
      <c r="G82" s="342">
        <v>3893</v>
      </c>
      <c r="H82" s="342">
        <v>0</v>
      </c>
      <c r="I82" s="342">
        <v>15483</v>
      </c>
      <c r="K82" s="340"/>
      <c r="L82" s="340"/>
      <c r="M82" s="340"/>
    </row>
    <row r="83" spans="1:13" x14ac:dyDescent="0.2">
      <c r="A83" s="343">
        <v>71</v>
      </c>
      <c r="B83" s="344" t="s">
        <v>50</v>
      </c>
      <c r="C83" s="348" t="s">
        <v>468</v>
      </c>
      <c r="D83" s="342">
        <f t="shared" si="4"/>
        <v>38080</v>
      </c>
      <c r="E83" s="342">
        <v>0</v>
      </c>
      <c r="F83" s="342">
        <f t="shared" si="5"/>
        <v>38080</v>
      </c>
      <c r="G83" s="342">
        <v>9780</v>
      </c>
      <c r="H83" s="342">
        <v>0</v>
      </c>
      <c r="I83" s="342">
        <v>28300</v>
      </c>
      <c r="K83" s="340"/>
      <c r="L83" s="340"/>
      <c r="M83" s="340"/>
    </row>
    <row r="84" spans="1:13" x14ac:dyDescent="0.2">
      <c r="A84" s="343">
        <v>72</v>
      </c>
      <c r="B84" s="347" t="s">
        <v>52</v>
      </c>
      <c r="C84" s="348" t="s">
        <v>220</v>
      </c>
      <c r="D84" s="342">
        <f t="shared" si="4"/>
        <v>25300</v>
      </c>
      <c r="E84" s="342">
        <v>0</v>
      </c>
      <c r="F84" s="342">
        <f t="shared" si="5"/>
        <v>25300</v>
      </c>
      <c r="G84" s="342">
        <v>4170</v>
      </c>
      <c r="H84" s="342">
        <v>210</v>
      </c>
      <c r="I84" s="342">
        <v>20920</v>
      </c>
      <c r="K84" s="340"/>
      <c r="L84" s="340"/>
      <c r="M84" s="340"/>
    </row>
    <row r="85" spans="1:13" x14ac:dyDescent="0.2">
      <c r="A85" s="343">
        <v>73</v>
      </c>
      <c r="B85" s="222" t="s">
        <v>44</v>
      </c>
      <c r="C85" s="220" t="s">
        <v>221</v>
      </c>
      <c r="D85" s="342">
        <f t="shared" si="4"/>
        <v>6681</v>
      </c>
      <c r="E85" s="342">
        <v>0</v>
      </c>
      <c r="F85" s="342">
        <f t="shared" si="5"/>
        <v>6681</v>
      </c>
      <c r="G85" s="342">
        <v>1974</v>
      </c>
      <c r="H85" s="342">
        <v>255</v>
      </c>
      <c r="I85" s="342">
        <v>4452</v>
      </c>
      <c r="K85" s="340"/>
      <c r="L85" s="340"/>
      <c r="M85" s="340"/>
    </row>
    <row r="86" spans="1:13" x14ac:dyDescent="0.2">
      <c r="A86" s="343">
        <v>74</v>
      </c>
      <c r="B86" s="344" t="s">
        <v>54</v>
      </c>
      <c r="C86" s="348" t="s">
        <v>222</v>
      </c>
      <c r="D86" s="342">
        <f t="shared" si="4"/>
        <v>46969</v>
      </c>
      <c r="E86" s="342">
        <v>0</v>
      </c>
      <c r="F86" s="342">
        <f t="shared" si="5"/>
        <v>46969</v>
      </c>
      <c r="G86" s="342">
        <v>21375</v>
      </c>
      <c r="H86" s="342">
        <v>8</v>
      </c>
      <c r="I86" s="342">
        <v>25586</v>
      </c>
      <c r="K86" s="340"/>
      <c r="L86" s="340"/>
      <c r="M86" s="340"/>
    </row>
    <row r="87" spans="1:13" x14ac:dyDescent="0.2">
      <c r="A87" s="343">
        <v>75</v>
      </c>
      <c r="B87" s="222" t="s">
        <v>36</v>
      </c>
      <c r="C87" s="220" t="s">
        <v>37</v>
      </c>
      <c r="D87" s="342">
        <f t="shared" si="4"/>
        <v>0</v>
      </c>
      <c r="E87" s="342">
        <v>0</v>
      </c>
      <c r="F87" s="342">
        <f t="shared" si="5"/>
        <v>0</v>
      </c>
      <c r="G87" s="342">
        <v>0</v>
      </c>
      <c r="H87" s="342">
        <v>0</v>
      </c>
      <c r="I87" s="342">
        <v>0</v>
      </c>
      <c r="K87" s="340"/>
      <c r="L87" s="340"/>
      <c r="M87" s="340"/>
    </row>
    <row r="88" spans="1:13" x14ac:dyDescent="0.2">
      <c r="A88" s="343">
        <v>76</v>
      </c>
      <c r="B88" s="344" t="s">
        <v>48</v>
      </c>
      <c r="C88" s="348" t="s">
        <v>469</v>
      </c>
      <c r="D88" s="342">
        <f t="shared" si="4"/>
        <v>42357</v>
      </c>
      <c r="E88" s="342">
        <v>0</v>
      </c>
      <c r="F88" s="342">
        <f t="shared" si="5"/>
        <v>42357</v>
      </c>
      <c r="G88" s="342">
        <v>13740</v>
      </c>
      <c r="H88" s="342">
        <v>2000</v>
      </c>
      <c r="I88" s="342">
        <v>26617</v>
      </c>
      <c r="K88" s="340"/>
      <c r="L88" s="340"/>
      <c r="M88" s="340"/>
    </row>
    <row r="89" spans="1:13" x14ac:dyDescent="0.2">
      <c r="A89" s="343">
        <v>77</v>
      </c>
      <c r="B89" s="222" t="s">
        <v>224</v>
      </c>
      <c r="C89" s="220" t="s">
        <v>225</v>
      </c>
      <c r="D89" s="342">
        <f t="shared" si="4"/>
        <v>300</v>
      </c>
      <c r="E89" s="342">
        <v>300</v>
      </c>
      <c r="F89" s="342">
        <f t="shared" si="5"/>
        <v>0</v>
      </c>
      <c r="G89" s="342">
        <v>0</v>
      </c>
      <c r="H89" s="342">
        <v>0</v>
      </c>
      <c r="I89" s="342">
        <v>0</v>
      </c>
      <c r="K89" s="340"/>
      <c r="L89" s="340"/>
      <c r="M89" s="340"/>
    </row>
    <row r="90" spans="1:13" x14ac:dyDescent="0.2">
      <c r="A90" s="343">
        <v>78</v>
      </c>
      <c r="B90" s="346" t="s">
        <v>226</v>
      </c>
      <c r="C90" s="348" t="s">
        <v>470</v>
      </c>
      <c r="D90" s="342">
        <f t="shared" si="4"/>
        <v>0</v>
      </c>
      <c r="E90" s="342">
        <v>0</v>
      </c>
      <c r="F90" s="342">
        <f t="shared" si="5"/>
        <v>0</v>
      </c>
      <c r="G90" s="342">
        <v>0</v>
      </c>
      <c r="H90" s="342">
        <v>0</v>
      </c>
      <c r="I90" s="342">
        <v>0</v>
      </c>
      <c r="K90" s="340"/>
      <c r="L90" s="340"/>
      <c r="M90" s="340"/>
    </row>
    <row r="91" spans="1:13" ht="19.5" customHeight="1" x14ac:dyDescent="0.2">
      <c r="A91" s="1073">
        <v>79</v>
      </c>
      <c r="B91" s="1076" t="s">
        <v>228</v>
      </c>
      <c r="C91" s="801" t="s">
        <v>229</v>
      </c>
      <c r="D91" s="342">
        <f t="shared" si="4"/>
        <v>163</v>
      </c>
      <c r="E91" s="342">
        <v>0</v>
      </c>
      <c r="F91" s="342">
        <f t="shared" si="5"/>
        <v>163</v>
      </c>
      <c r="G91" s="342">
        <v>40</v>
      </c>
      <c r="H91" s="342">
        <v>0</v>
      </c>
      <c r="I91" s="342">
        <v>123</v>
      </c>
      <c r="K91" s="340"/>
      <c r="L91" s="340"/>
      <c r="M91" s="340"/>
    </row>
    <row r="92" spans="1:13" ht="27.75" customHeight="1" x14ac:dyDescent="0.2">
      <c r="A92" s="1074"/>
      <c r="B92" s="1077"/>
      <c r="C92" s="220" t="s">
        <v>230</v>
      </c>
      <c r="D92" s="342">
        <f t="shared" si="4"/>
        <v>163</v>
      </c>
      <c r="E92" s="342">
        <v>0</v>
      </c>
      <c r="F92" s="342">
        <f t="shared" si="5"/>
        <v>163</v>
      </c>
      <c r="G92" s="342">
        <v>40</v>
      </c>
      <c r="H92" s="342">
        <v>0</v>
      </c>
      <c r="I92" s="342">
        <v>123</v>
      </c>
      <c r="K92" s="340"/>
      <c r="L92" s="340"/>
      <c r="M92" s="340"/>
    </row>
    <row r="93" spans="1:13" x14ac:dyDescent="0.2">
      <c r="A93" s="1074"/>
      <c r="B93" s="1077"/>
      <c r="C93" s="348" t="s">
        <v>231</v>
      </c>
      <c r="D93" s="342">
        <f t="shared" si="4"/>
        <v>0</v>
      </c>
      <c r="E93" s="342">
        <v>0</v>
      </c>
      <c r="F93" s="342">
        <f t="shared" si="5"/>
        <v>0</v>
      </c>
      <c r="G93" s="342">
        <v>0</v>
      </c>
      <c r="H93" s="342">
        <v>0</v>
      </c>
      <c r="I93" s="342">
        <v>0</v>
      </c>
      <c r="K93" s="340"/>
      <c r="L93" s="340"/>
      <c r="M93" s="340"/>
    </row>
    <row r="94" spans="1:13" ht="24" x14ac:dyDescent="0.2">
      <c r="A94" s="1075"/>
      <c r="B94" s="1078"/>
      <c r="C94" s="315" t="s">
        <v>232</v>
      </c>
      <c r="D94" s="342">
        <f t="shared" si="4"/>
        <v>0</v>
      </c>
      <c r="E94" s="342">
        <v>0</v>
      </c>
      <c r="F94" s="342">
        <f t="shared" si="5"/>
        <v>0</v>
      </c>
      <c r="G94" s="342">
        <v>0</v>
      </c>
      <c r="H94" s="342">
        <v>0</v>
      </c>
      <c r="I94" s="342">
        <v>0</v>
      </c>
      <c r="K94" s="340"/>
      <c r="L94" s="340"/>
      <c r="M94" s="340"/>
    </row>
    <row r="95" spans="1:13" x14ac:dyDescent="0.2">
      <c r="A95" s="343">
        <v>80</v>
      </c>
      <c r="B95" s="346" t="s">
        <v>233</v>
      </c>
      <c r="C95" s="345" t="s">
        <v>234</v>
      </c>
      <c r="D95" s="342">
        <f t="shared" si="4"/>
        <v>0</v>
      </c>
      <c r="E95" s="342">
        <v>0</v>
      </c>
      <c r="F95" s="342">
        <f t="shared" si="5"/>
        <v>0</v>
      </c>
      <c r="G95" s="342">
        <v>0</v>
      </c>
      <c r="H95" s="342">
        <v>0</v>
      </c>
      <c r="I95" s="342">
        <v>0</v>
      </c>
      <c r="K95" s="340"/>
      <c r="L95" s="340"/>
      <c r="M95" s="340"/>
    </row>
    <row r="96" spans="1:13" x14ac:dyDescent="0.2">
      <c r="A96" s="343">
        <v>81</v>
      </c>
      <c r="B96" s="346" t="s">
        <v>235</v>
      </c>
      <c r="C96" s="220" t="s">
        <v>236</v>
      </c>
      <c r="D96" s="342">
        <f t="shared" si="4"/>
        <v>0</v>
      </c>
      <c r="E96" s="342">
        <v>0</v>
      </c>
      <c r="F96" s="342">
        <f t="shared" si="5"/>
        <v>0</v>
      </c>
      <c r="G96" s="342">
        <v>0</v>
      </c>
      <c r="H96" s="342">
        <v>0</v>
      </c>
      <c r="I96" s="342">
        <v>0</v>
      </c>
      <c r="K96" s="340"/>
      <c r="L96" s="340"/>
      <c r="M96" s="340"/>
    </row>
    <row r="97" spans="1:13" x14ac:dyDescent="0.2">
      <c r="A97" s="343">
        <v>82</v>
      </c>
      <c r="B97" s="347" t="s">
        <v>74</v>
      </c>
      <c r="C97" s="348" t="s">
        <v>237</v>
      </c>
      <c r="D97" s="342">
        <f t="shared" si="4"/>
        <v>9275</v>
      </c>
      <c r="E97" s="342">
        <v>0</v>
      </c>
      <c r="F97" s="342">
        <f t="shared" si="5"/>
        <v>9275</v>
      </c>
      <c r="G97" s="342">
        <v>1766</v>
      </c>
      <c r="H97" s="342">
        <v>0</v>
      </c>
      <c r="I97" s="342">
        <v>7509</v>
      </c>
      <c r="K97" s="340"/>
      <c r="L97" s="340"/>
      <c r="M97" s="340"/>
    </row>
    <row r="98" spans="1:13" x14ac:dyDescent="0.2">
      <c r="A98" s="343">
        <v>83</v>
      </c>
      <c r="B98" s="346" t="s">
        <v>38</v>
      </c>
      <c r="C98" s="345" t="s">
        <v>39</v>
      </c>
      <c r="D98" s="342">
        <f t="shared" si="4"/>
        <v>3474</v>
      </c>
      <c r="E98" s="342">
        <v>0</v>
      </c>
      <c r="F98" s="342">
        <f t="shared" si="5"/>
        <v>3474</v>
      </c>
      <c r="G98" s="342">
        <v>974</v>
      </c>
      <c r="H98" s="342">
        <v>200</v>
      </c>
      <c r="I98" s="342">
        <v>2300</v>
      </c>
      <c r="K98" s="340"/>
      <c r="L98" s="340"/>
      <c r="M98" s="340"/>
    </row>
    <row r="99" spans="1:13" x14ac:dyDescent="0.2">
      <c r="A99" s="343">
        <v>84</v>
      </c>
      <c r="B99" s="347" t="s">
        <v>40</v>
      </c>
      <c r="C99" s="348" t="s">
        <v>41</v>
      </c>
      <c r="D99" s="342">
        <f t="shared" si="4"/>
        <v>3559</v>
      </c>
      <c r="E99" s="342">
        <v>0</v>
      </c>
      <c r="F99" s="342">
        <f t="shared" si="5"/>
        <v>3559</v>
      </c>
      <c r="G99" s="342">
        <v>607</v>
      </c>
      <c r="H99" s="342">
        <v>0</v>
      </c>
      <c r="I99" s="342">
        <v>2952</v>
      </c>
      <c r="K99" s="340"/>
      <c r="L99" s="340"/>
      <c r="M99" s="340"/>
    </row>
    <row r="100" spans="1:13" x14ac:dyDescent="0.2">
      <c r="A100" s="343">
        <v>85</v>
      </c>
      <c r="B100" s="347" t="s">
        <v>238</v>
      </c>
      <c r="C100" s="348" t="s">
        <v>239</v>
      </c>
      <c r="D100" s="342">
        <f t="shared" si="4"/>
        <v>9815</v>
      </c>
      <c r="E100" s="342">
        <v>0</v>
      </c>
      <c r="F100" s="342">
        <f t="shared" si="5"/>
        <v>9815</v>
      </c>
      <c r="G100" s="342">
        <v>2115</v>
      </c>
      <c r="H100" s="342">
        <v>0</v>
      </c>
      <c r="I100" s="342">
        <v>7700</v>
      </c>
      <c r="K100" s="340"/>
      <c r="L100" s="340"/>
      <c r="M100" s="340"/>
    </row>
    <row r="101" spans="1:13" x14ac:dyDescent="0.2">
      <c r="A101" s="343">
        <v>86</v>
      </c>
      <c r="B101" s="346" t="s">
        <v>240</v>
      </c>
      <c r="C101" s="220" t="s">
        <v>241</v>
      </c>
      <c r="D101" s="342">
        <f t="shared" si="4"/>
        <v>4625</v>
      </c>
      <c r="E101" s="342">
        <v>0</v>
      </c>
      <c r="F101" s="342">
        <f t="shared" si="5"/>
        <v>4625</v>
      </c>
      <c r="G101" s="342">
        <v>1000</v>
      </c>
      <c r="H101" s="342">
        <v>0</v>
      </c>
      <c r="I101" s="342">
        <v>3625</v>
      </c>
      <c r="K101" s="340"/>
      <c r="L101" s="340"/>
      <c r="M101" s="340"/>
    </row>
    <row r="102" spans="1:13" x14ac:dyDescent="0.2">
      <c r="A102" s="343">
        <v>87</v>
      </c>
      <c r="B102" s="346" t="s">
        <v>88</v>
      </c>
      <c r="C102" s="345" t="s">
        <v>89</v>
      </c>
      <c r="D102" s="342">
        <f t="shared" si="4"/>
        <v>10134</v>
      </c>
      <c r="E102" s="342">
        <v>0</v>
      </c>
      <c r="F102" s="342">
        <f t="shared" si="5"/>
        <v>10134</v>
      </c>
      <c r="G102" s="342">
        <v>2934</v>
      </c>
      <c r="H102" s="342">
        <v>0</v>
      </c>
      <c r="I102" s="342">
        <v>7200</v>
      </c>
      <c r="K102" s="340"/>
      <c r="L102" s="340"/>
      <c r="M102" s="340"/>
    </row>
    <row r="103" spans="1:13" x14ac:dyDescent="0.2">
      <c r="A103" s="343">
        <v>88</v>
      </c>
      <c r="B103" s="344" t="s">
        <v>242</v>
      </c>
      <c r="C103" s="345" t="s">
        <v>243</v>
      </c>
      <c r="D103" s="342">
        <f t="shared" si="4"/>
        <v>6649</v>
      </c>
      <c r="E103" s="342">
        <v>0</v>
      </c>
      <c r="F103" s="342">
        <f t="shared" si="5"/>
        <v>6649</v>
      </c>
      <c r="G103" s="342">
        <v>699</v>
      </c>
      <c r="H103" s="342">
        <v>0</v>
      </c>
      <c r="I103" s="342">
        <v>5950</v>
      </c>
      <c r="K103" s="340"/>
      <c r="L103" s="340"/>
      <c r="M103" s="340"/>
    </row>
    <row r="104" spans="1:13" x14ac:dyDescent="0.2">
      <c r="A104" s="343">
        <v>89</v>
      </c>
      <c r="B104" s="344" t="s">
        <v>244</v>
      </c>
      <c r="C104" s="345" t="s">
        <v>245</v>
      </c>
      <c r="D104" s="342">
        <f t="shared" si="4"/>
        <v>2460</v>
      </c>
      <c r="E104" s="342">
        <v>0</v>
      </c>
      <c r="F104" s="342">
        <f t="shared" si="5"/>
        <v>2460</v>
      </c>
      <c r="G104" s="342">
        <v>1360</v>
      </c>
      <c r="H104" s="342">
        <v>100</v>
      </c>
      <c r="I104" s="342">
        <v>1000</v>
      </c>
      <c r="K104" s="340"/>
      <c r="L104" s="340"/>
      <c r="M104" s="340"/>
    </row>
    <row r="105" spans="1:13" x14ac:dyDescent="0.2">
      <c r="A105" s="343">
        <v>90</v>
      </c>
      <c r="B105" s="347" t="s">
        <v>246</v>
      </c>
      <c r="C105" s="348" t="s">
        <v>247</v>
      </c>
      <c r="D105" s="342">
        <f t="shared" si="4"/>
        <v>2070</v>
      </c>
      <c r="E105" s="342">
        <v>0</v>
      </c>
      <c r="F105" s="342">
        <f t="shared" si="5"/>
        <v>2070</v>
      </c>
      <c r="G105" s="342">
        <v>570</v>
      </c>
      <c r="H105" s="342">
        <v>0</v>
      </c>
      <c r="I105" s="342">
        <v>1500</v>
      </c>
      <c r="K105" s="340"/>
      <c r="L105" s="340"/>
      <c r="M105" s="340"/>
    </row>
    <row r="106" spans="1:13" x14ac:dyDescent="0.2">
      <c r="A106" s="343">
        <v>91</v>
      </c>
      <c r="B106" s="222" t="s">
        <v>248</v>
      </c>
      <c r="C106" s="220" t="s">
        <v>249</v>
      </c>
      <c r="D106" s="342">
        <f t="shared" si="4"/>
        <v>7112</v>
      </c>
      <c r="E106" s="342">
        <v>0</v>
      </c>
      <c r="F106" s="342">
        <f t="shared" si="5"/>
        <v>7112</v>
      </c>
      <c r="G106" s="342">
        <v>1168</v>
      </c>
      <c r="H106" s="342">
        <v>0</v>
      </c>
      <c r="I106" s="342">
        <v>5944</v>
      </c>
      <c r="K106" s="340"/>
      <c r="L106" s="340"/>
      <c r="M106" s="340"/>
    </row>
    <row r="107" spans="1:13" x14ac:dyDescent="0.2">
      <c r="A107" s="343">
        <v>92</v>
      </c>
      <c r="B107" s="344" t="s">
        <v>250</v>
      </c>
      <c r="C107" s="345" t="s">
        <v>251</v>
      </c>
      <c r="D107" s="342">
        <f t="shared" si="4"/>
        <v>2700</v>
      </c>
      <c r="E107" s="342">
        <v>0</v>
      </c>
      <c r="F107" s="342">
        <f t="shared" si="5"/>
        <v>2700</v>
      </c>
      <c r="G107" s="342">
        <v>700</v>
      </c>
      <c r="H107" s="342">
        <v>0</v>
      </c>
      <c r="I107" s="342">
        <v>2000</v>
      </c>
      <c r="K107" s="340"/>
      <c r="L107" s="340"/>
      <c r="M107" s="340"/>
    </row>
    <row r="108" spans="1:13" x14ac:dyDescent="0.2">
      <c r="A108" s="343">
        <v>93</v>
      </c>
      <c r="B108" s="346" t="s">
        <v>32</v>
      </c>
      <c r="C108" s="345" t="s">
        <v>33</v>
      </c>
      <c r="D108" s="342">
        <f t="shared" si="4"/>
        <v>5278</v>
      </c>
      <c r="E108" s="342">
        <v>0</v>
      </c>
      <c r="F108" s="342">
        <f t="shared" si="5"/>
        <v>5278</v>
      </c>
      <c r="G108" s="342">
        <v>1020</v>
      </c>
      <c r="H108" s="342">
        <v>0</v>
      </c>
      <c r="I108" s="342">
        <v>4258</v>
      </c>
      <c r="K108" s="340"/>
      <c r="L108" s="340"/>
      <c r="M108" s="340"/>
    </row>
    <row r="109" spans="1:13" x14ac:dyDescent="0.2">
      <c r="A109" s="343">
        <v>94</v>
      </c>
      <c r="B109" s="347" t="s">
        <v>252</v>
      </c>
      <c r="C109" s="348" t="s">
        <v>253</v>
      </c>
      <c r="D109" s="342">
        <f t="shared" si="4"/>
        <v>4937</v>
      </c>
      <c r="E109" s="342">
        <v>0</v>
      </c>
      <c r="F109" s="342">
        <f t="shared" si="5"/>
        <v>4937</v>
      </c>
      <c r="G109" s="342">
        <v>947</v>
      </c>
      <c r="H109" s="342">
        <v>80</v>
      </c>
      <c r="I109" s="342">
        <v>3910</v>
      </c>
      <c r="K109" s="340"/>
      <c r="L109" s="340"/>
      <c r="M109" s="340"/>
    </row>
    <row r="110" spans="1:13" x14ac:dyDescent="0.2">
      <c r="A110" s="343">
        <v>95</v>
      </c>
      <c r="B110" s="347" t="s">
        <v>254</v>
      </c>
      <c r="C110" s="348" t="s">
        <v>255</v>
      </c>
      <c r="D110" s="342">
        <f t="shared" si="4"/>
        <v>7790</v>
      </c>
      <c r="E110" s="342">
        <v>0</v>
      </c>
      <c r="F110" s="342">
        <f t="shared" si="5"/>
        <v>7790</v>
      </c>
      <c r="G110" s="342">
        <v>1715</v>
      </c>
      <c r="H110" s="342">
        <v>0</v>
      </c>
      <c r="I110" s="342">
        <v>6075</v>
      </c>
      <c r="K110" s="340"/>
      <c r="L110" s="340"/>
      <c r="M110" s="340"/>
    </row>
    <row r="111" spans="1:13" x14ac:dyDescent="0.2">
      <c r="A111" s="343">
        <v>96</v>
      </c>
      <c r="B111" s="344" t="s">
        <v>256</v>
      </c>
      <c r="C111" s="345" t="s">
        <v>257</v>
      </c>
      <c r="D111" s="342">
        <f t="shared" si="4"/>
        <v>11760</v>
      </c>
      <c r="E111" s="342">
        <v>0</v>
      </c>
      <c r="F111" s="342">
        <f t="shared" si="5"/>
        <v>11760</v>
      </c>
      <c r="G111" s="342">
        <v>1048</v>
      </c>
      <c r="H111" s="342">
        <v>20</v>
      </c>
      <c r="I111" s="342">
        <v>10692</v>
      </c>
      <c r="K111" s="340"/>
      <c r="L111" s="340"/>
      <c r="M111" s="340"/>
    </row>
    <row r="112" spans="1:13" x14ac:dyDescent="0.2">
      <c r="A112" s="343">
        <v>97</v>
      </c>
      <c r="B112" s="346" t="s">
        <v>76</v>
      </c>
      <c r="C112" s="345" t="s">
        <v>77</v>
      </c>
      <c r="D112" s="342">
        <f t="shared" si="4"/>
        <v>6280</v>
      </c>
      <c r="E112" s="342">
        <v>0</v>
      </c>
      <c r="F112" s="342">
        <f t="shared" si="5"/>
        <v>6280</v>
      </c>
      <c r="G112" s="342">
        <v>1030</v>
      </c>
      <c r="H112" s="342">
        <v>100</v>
      </c>
      <c r="I112" s="342">
        <v>5150</v>
      </c>
      <c r="K112" s="340"/>
      <c r="L112" s="340"/>
      <c r="M112" s="340"/>
    </row>
    <row r="113" spans="1:13" x14ac:dyDescent="0.2">
      <c r="A113" s="343">
        <v>98</v>
      </c>
      <c r="B113" s="344" t="s">
        <v>258</v>
      </c>
      <c r="C113" s="348" t="s">
        <v>259</v>
      </c>
      <c r="D113" s="342">
        <f t="shared" si="4"/>
        <v>892</v>
      </c>
      <c r="E113" s="342">
        <f>832+60</f>
        <v>892</v>
      </c>
      <c r="F113" s="342">
        <f t="shared" si="5"/>
        <v>0</v>
      </c>
      <c r="G113" s="342">
        <v>0</v>
      </c>
      <c r="H113" s="342">
        <v>0</v>
      </c>
      <c r="I113" s="342">
        <v>0</v>
      </c>
      <c r="K113" s="340"/>
      <c r="L113" s="340"/>
      <c r="M113" s="340"/>
    </row>
    <row r="114" spans="1:13" x14ac:dyDescent="0.2">
      <c r="A114" s="343">
        <v>99</v>
      </c>
      <c r="B114" s="344" t="s">
        <v>260</v>
      </c>
      <c r="C114" s="345" t="s">
        <v>261</v>
      </c>
      <c r="D114" s="342">
        <f t="shared" si="4"/>
        <v>0</v>
      </c>
      <c r="E114" s="342">
        <v>0</v>
      </c>
      <c r="F114" s="342">
        <f t="shared" si="5"/>
        <v>0</v>
      </c>
      <c r="G114" s="342">
        <v>0</v>
      </c>
      <c r="H114" s="342">
        <v>0</v>
      </c>
      <c r="I114" s="342">
        <v>0</v>
      </c>
      <c r="K114" s="340"/>
      <c r="L114" s="340"/>
      <c r="M114" s="340"/>
    </row>
    <row r="115" spans="1:13" x14ac:dyDescent="0.2">
      <c r="A115" s="343">
        <v>100</v>
      </c>
      <c r="B115" s="347" t="s">
        <v>264</v>
      </c>
      <c r="C115" s="348" t="s">
        <v>265</v>
      </c>
      <c r="D115" s="342">
        <f t="shared" si="4"/>
        <v>0</v>
      </c>
      <c r="E115" s="342">
        <v>0</v>
      </c>
      <c r="F115" s="342">
        <f t="shared" si="5"/>
        <v>0</v>
      </c>
      <c r="G115" s="342">
        <v>0</v>
      </c>
      <c r="H115" s="342">
        <v>0</v>
      </c>
      <c r="I115" s="342">
        <v>0</v>
      </c>
      <c r="K115" s="340"/>
      <c r="L115" s="340"/>
      <c r="M115" s="340"/>
    </row>
    <row r="116" spans="1:13" x14ac:dyDescent="0.2">
      <c r="A116" s="343">
        <v>101</v>
      </c>
      <c r="B116" s="347" t="s">
        <v>266</v>
      </c>
      <c r="C116" s="348" t="s">
        <v>267</v>
      </c>
      <c r="D116" s="342">
        <f t="shared" si="4"/>
        <v>0</v>
      </c>
      <c r="E116" s="342">
        <v>0</v>
      </c>
      <c r="F116" s="342">
        <f t="shared" si="5"/>
        <v>0</v>
      </c>
      <c r="G116" s="342">
        <v>0</v>
      </c>
      <c r="H116" s="342">
        <v>0</v>
      </c>
      <c r="I116" s="342">
        <v>0</v>
      </c>
      <c r="K116" s="340"/>
      <c r="L116" s="340"/>
      <c r="M116" s="340"/>
    </row>
    <row r="117" spans="1:13" x14ac:dyDescent="0.2">
      <c r="A117" s="343">
        <v>102</v>
      </c>
      <c r="B117" s="347" t="s">
        <v>268</v>
      </c>
      <c r="C117" s="348" t="s">
        <v>269</v>
      </c>
      <c r="D117" s="342">
        <f t="shared" si="4"/>
        <v>0</v>
      </c>
      <c r="E117" s="342">
        <v>0</v>
      </c>
      <c r="F117" s="342">
        <f t="shared" si="5"/>
        <v>0</v>
      </c>
      <c r="G117" s="342">
        <v>0</v>
      </c>
      <c r="H117" s="342">
        <v>0</v>
      </c>
      <c r="I117" s="342">
        <v>0</v>
      </c>
      <c r="K117" s="340"/>
      <c r="L117" s="340"/>
      <c r="M117" s="340"/>
    </row>
    <row r="118" spans="1:13" x14ac:dyDescent="0.2">
      <c r="A118" s="343">
        <v>103</v>
      </c>
      <c r="B118" s="347" t="s">
        <v>270</v>
      </c>
      <c r="C118" s="348" t="s">
        <v>271</v>
      </c>
      <c r="D118" s="342">
        <f t="shared" si="4"/>
        <v>0</v>
      </c>
      <c r="E118" s="342">
        <v>0</v>
      </c>
      <c r="F118" s="342">
        <f t="shared" si="5"/>
        <v>0</v>
      </c>
      <c r="G118" s="342">
        <v>0</v>
      </c>
      <c r="H118" s="342">
        <v>0</v>
      </c>
      <c r="I118" s="342">
        <v>0</v>
      </c>
      <c r="K118" s="340"/>
      <c r="L118" s="340"/>
      <c r="M118" s="340"/>
    </row>
    <row r="119" spans="1:13" x14ac:dyDescent="0.2">
      <c r="A119" s="343">
        <v>104</v>
      </c>
      <c r="B119" s="347" t="s">
        <v>272</v>
      </c>
      <c r="C119" s="348" t="s">
        <v>273</v>
      </c>
      <c r="D119" s="342">
        <f t="shared" si="4"/>
        <v>3360</v>
      </c>
      <c r="E119" s="342">
        <f>3076+284</f>
        <v>3360</v>
      </c>
      <c r="F119" s="342">
        <f t="shared" si="5"/>
        <v>0</v>
      </c>
      <c r="G119" s="342">
        <v>0</v>
      </c>
      <c r="H119" s="342">
        <v>0</v>
      </c>
      <c r="I119" s="342">
        <v>0</v>
      </c>
      <c r="K119" s="340"/>
      <c r="L119" s="340"/>
      <c r="M119" s="340"/>
    </row>
    <row r="120" spans="1:13" x14ac:dyDescent="0.2">
      <c r="A120" s="343">
        <v>105</v>
      </c>
      <c r="B120" s="352" t="s">
        <v>274</v>
      </c>
      <c r="C120" s="353" t="s">
        <v>275</v>
      </c>
      <c r="D120" s="342">
        <f t="shared" si="4"/>
        <v>0</v>
      </c>
      <c r="E120" s="342">
        <v>0</v>
      </c>
      <c r="F120" s="342">
        <f t="shared" si="5"/>
        <v>0</v>
      </c>
      <c r="G120" s="342">
        <v>0</v>
      </c>
      <c r="H120" s="342">
        <v>0</v>
      </c>
      <c r="I120" s="342">
        <v>0</v>
      </c>
      <c r="K120" s="340"/>
      <c r="L120" s="340"/>
      <c r="M120" s="340"/>
    </row>
    <row r="121" spans="1:13" x14ac:dyDescent="0.2">
      <c r="A121" s="343">
        <v>106</v>
      </c>
      <c r="B121" s="346" t="s">
        <v>276</v>
      </c>
      <c r="C121" s="345" t="s">
        <v>277</v>
      </c>
      <c r="D121" s="342">
        <f t="shared" si="4"/>
        <v>0</v>
      </c>
      <c r="E121" s="342">
        <v>0</v>
      </c>
      <c r="F121" s="342">
        <f t="shared" si="5"/>
        <v>0</v>
      </c>
      <c r="G121" s="342">
        <v>0</v>
      </c>
      <c r="H121" s="342">
        <v>0</v>
      </c>
      <c r="I121" s="342">
        <v>0</v>
      </c>
      <c r="K121" s="340"/>
      <c r="L121" s="340"/>
      <c r="M121" s="340"/>
    </row>
    <row r="122" spans="1:13" x14ac:dyDescent="0.2">
      <c r="A122" s="343">
        <v>107</v>
      </c>
      <c r="B122" s="347" t="s">
        <v>278</v>
      </c>
      <c r="C122" s="348" t="s">
        <v>279</v>
      </c>
      <c r="D122" s="342">
        <f t="shared" si="4"/>
        <v>0</v>
      </c>
      <c r="E122" s="342">
        <v>0</v>
      </c>
      <c r="F122" s="342">
        <f t="shared" si="5"/>
        <v>0</v>
      </c>
      <c r="G122" s="342">
        <v>0</v>
      </c>
      <c r="H122" s="342">
        <v>0</v>
      </c>
      <c r="I122" s="342">
        <v>0</v>
      </c>
      <c r="K122" s="340"/>
      <c r="L122" s="340"/>
      <c r="M122" s="340"/>
    </row>
    <row r="123" spans="1:13" x14ac:dyDescent="0.2">
      <c r="A123" s="343">
        <v>108</v>
      </c>
      <c r="B123" s="344" t="s">
        <v>280</v>
      </c>
      <c r="C123" s="354" t="s">
        <v>281</v>
      </c>
      <c r="D123" s="342">
        <f t="shared" si="4"/>
        <v>0</v>
      </c>
      <c r="E123" s="342">
        <v>0</v>
      </c>
      <c r="F123" s="342">
        <f t="shared" si="5"/>
        <v>0</v>
      </c>
      <c r="G123" s="342">
        <v>0</v>
      </c>
      <c r="H123" s="342">
        <v>0</v>
      </c>
      <c r="I123" s="342">
        <v>0</v>
      </c>
      <c r="K123" s="340"/>
      <c r="L123" s="340"/>
      <c r="M123" s="340"/>
    </row>
    <row r="124" spans="1:13" x14ac:dyDescent="0.2">
      <c r="A124" s="343">
        <v>109</v>
      </c>
      <c r="B124" s="347" t="s">
        <v>282</v>
      </c>
      <c r="C124" s="220" t="s">
        <v>283</v>
      </c>
      <c r="D124" s="342">
        <f t="shared" si="4"/>
        <v>0</v>
      </c>
      <c r="E124" s="342">
        <v>0</v>
      </c>
      <c r="F124" s="342">
        <f t="shared" si="5"/>
        <v>0</v>
      </c>
      <c r="G124" s="342">
        <v>0</v>
      </c>
      <c r="H124" s="342">
        <v>0</v>
      </c>
      <c r="I124" s="342">
        <v>0</v>
      </c>
      <c r="K124" s="340"/>
      <c r="L124" s="340"/>
      <c r="M124" s="340"/>
    </row>
    <row r="125" spans="1:13" x14ac:dyDescent="0.2">
      <c r="A125" s="343">
        <v>110</v>
      </c>
      <c r="B125" s="346" t="s">
        <v>284</v>
      </c>
      <c r="C125" s="348" t="s">
        <v>471</v>
      </c>
      <c r="D125" s="342">
        <f t="shared" si="4"/>
        <v>0</v>
      </c>
      <c r="E125" s="342">
        <v>0</v>
      </c>
      <c r="F125" s="342">
        <f t="shared" si="5"/>
        <v>0</v>
      </c>
      <c r="G125" s="342">
        <v>0</v>
      </c>
      <c r="H125" s="342">
        <v>0</v>
      </c>
      <c r="I125" s="342">
        <v>0</v>
      </c>
      <c r="K125" s="340"/>
      <c r="L125" s="340"/>
      <c r="M125" s="340"/>
    </row>
    <row r="126" spans="1:13" x14ac:dyDescent="0.2">
      <c r="A126" s="343">
        <v>111</v>
      </c>
      <c r="B126" s="224" t="s">
        <v>780</v>
      </c>
      <c r="C126" s="220" t="s">
        <v>737</v>
      </c>
      <c r="D126" s="342">
        <f t="shared" si="4"/>
        <v>0</v>
      </c>
      <c r="E126" s="342">
        <v>0</v>
      </c>
      <c r="F126" s="342">
        <f t="shared" si="5"/>
        <v>0</v>
      </c>
      <c r="G126" s="342">
        <v>0</v>
      </c>
      <c r="H126" s="342">
        <v>0</v>
      </c>
      <c r="I126" s="342">
        <v>0</v>
      </c>
      <c r="K126" s="340"/>
      <c r="L126" s="340"/>
      <c r="M126" s="340"/>
    </row>
    <row r="127" spans="1:13" x14ac:dyDescent="0.2">
      <c r="A127" s="343">
        <v>112</v>
      </c>
      <c r="B127" s="346" t="s">
        <v>286</v>
      </c>
      <c r="C127" s="348" t="s">
        <v>287</v>
      </c>
      <c r="D127" s="342">
        <f t="shared" si="4"/>
        <v>0</v>
      </c>
      <c r="E127" s="342">
        <v>0</v>
      </c>
      <c r="F127" s="342">
        <f t="shared" si="5"/>
        <v>0</v>
      </c>
      <c r="G127" s="342">
        <v>0</v>
      </c>
      <c r="H127" s="342">
        <v>0</v>
      </c>
      <c r="I127" s="342">
        <v>0</v>
      </c>
      <c r="K127" s="340"/>
      <c r="L127" s="340"/>
      <c r="M127" s="340"/>
    </row>
    <row r="128" spans="1:13" x14ac:dyDescent="0.2">
      <c r="A128" s="343">
        <v>113</v>
      </c>
      <c r="B128" s="346" t="s">
        <v>288</v>
      </c>
      <c r="C128" s="220" t="s">
        <v>738</v>
      </c>
      <c r="D128" s="342">
        <f t="shared" si="4"/>
        <v>0</v>
      </c>
      <c r="E128" s="342">
        <v>0</v>
      </c>
      <c r="F128" s="342">
        <f t="shared" si="5"/>
        <v>0</v>
      </c>
      <c r="G128" s="342">
        <v>0</v>
      </c>
      <c r="H128" s="342">
        <v>0</v>
      </c>
      <c r="I128" s="342">
        <v>0</v>
      </c>
      <c r="K128" s="340"/>
      <c r="L128" s="340"/>
      <c r="M128" s="340"/>
    </row>
    <row r="129" spans="1:13" x14ac:dyDescent="0.2">
      <c r="A129" s="343">
        <v>114</v>
      </c>
      <c r="B129" s="347" t="s">
        <v>290</v>
      </c>
      <c r="C129" s="348" t="s">
        <v>291</v>
      </c>
      <c r="D129" s="342">
        <f t="shared" si="4"/>
        <v>992</v>
      </c>
      <c r="E129" s="342">
        <v>992</v>
      </c>
      <c r="F129" s="342">
        <f t="shared" si="5"/>
        <v>0</v>
      </c>
      <c r="G129" s="342">
        <v>0</v>
      </c>
      <c r="H129" s="342">
        <v>0</v>
      </c>
      <c r="I129" s="342">
        <v>0</v>
      </c>
      <c r="K129" s="340"/>
      <c r="L129" s="340"/>
      <c r="M129" s="340"/>
    </row>
    <row r="130" spans="1:13" x14ac:dyDescent="0.2">
      <c r="A130" s="343">
        <v>115</v>
      </c>
      <c r="B130" s="347" t="s">
        <v>292</v>
      </c>
      <c r="C130" s="311" t="s">
        <v>293</v>
      </c>
      <c r="D130" s="342">
        <f t="shared" si="4"/>
        <v>0</v>
      </c>
      <c r="E130" s="342">
        <v>0</v>
      </c>
      <c r="F130" s="342">
        <f t="shared" si="5"/>
        <v>0</v>
      </c>
      <c r="G130" s="342">
        <v>0</v>
      </c>
      <c r="H130" s="342">
        <v>0</v>
      </c>
      <c r="I130" s="342">
        <v>0</v>
      </c>
      <c r="K130" s="340"/>
      <c r="L130" s="340"/>
      <c r="M130" s="340"/>
    </row>
    <row r="131" spans="1:13" x14ac:dyDescent="0.2">
      <c r="A131" s="343">
        <v>116</v>
      </c>
      <c r="B131" s="347" t="s">
        <v>294</v>
      </c>
      <c r="C131" s="348" t="s">
        <v>295</v>
      </c>
      <c r="D131" s="342">
        <f t="shared" si="4"/>
        <v>0</v>
      </c>
      <c r="E131" s="342">
        <v>0</v>
      </c>
      <c r="F131" s="342">
        <f t="shared" si="5"/>
        <v>0</v>
      </c>
      <c r="G131" s="342">
        <v>0</v>
      </c>
      <c r="H131" s="342">
        <v>0</v>
      </c>
      <c r="I131" s="342">
        <v>0</v>
      </c>
      <c r="K131" s="340"/>
      <c r="L131" s="340"/>
      <c r="M131" s="340"/>
    </row>
    <row r="132" spans="1:13" x14ac:dyDescent="0.2">
      <c r="A132" s="343">
        <v>117</v>
      </c>
      <c r="B132" s="347" t="s">
        <v>70</v>
      </c>
      <c r="C132" s="348" t="s">
        <v>296</v>
      </c>
      <c r="D132" s="342">
        <f t="shared" si="4"/>
        <v>0</v>
      </c>
      <c r="E132" s="342">
        <v>0</v>
      </c>
      <c r="F132" s="342">
        <f t="shared" si="5"/>
        <v>0</v>
      </c>
      <c r="G132" s="342">
        <v>0</v>
      </c>
      <c r="H132" s="342">
        <v>0</v>
      </c>
      <c r="I132" s="342">
        <v>0</v>
      </c>
      <c r="K132" s="340"/>
      <c r="L132" s="340"/>
      <c r="M132" s="340"/>
    </row>
    <row r="133" spans="1:13" x14ac:dyDescent="0.2">
      <c r="A133" s="343">
        <v>118</v>
      </c>
      <c r="B133" s="347" t="s">
        <v>72</v>
      </c>
      <c r="C133" s="348" t="s">
        <v>73</v>
      </c>
      <c r="D133" s="342">
        <f t="shared" si="4"/>
        <v>0</v>
      </c>
      <c r="E133" s="342">
        <v>0</v>
      </c>
      <c r="F133" s="342">
        <f t="shared" si="5"/>
        <v>0</v>
      </c>
      <c r="G133" s="342">
        <v>0</v>
      </c>
      <c r="H133" s="342">
        <v>0</v>
      </c>
      <c r="I133" s="342">
        <v>0</v>
      </c>
      <c r="K133" s="340"/>
      <c r="L133" s="340"/>
      <c r="M133" s="340"/>
    </row>
    <row r="134" spans="1:13" x14ac:dyDescent="0.2">
      <c r="A134" s="343">
        <v>119</v>
      </c>
      <c r="B134" s="344" t="s">
        <v>34</v>
      </c>
      <c r="C134" s="345" t="s">
        <v>35</v>
      </c>
      <c r="D134" s="342">
        <f t="shared" si="4"/>
        <v>0</v>
      </c>
      <c r="E134" s="342">
        <v>0</v>
      </c>
      <c r="F134" s="342">
        <f t="shared" si="5"/>
        <v>0</v>
      </c>
      <c r="G134" s="342">
        <v>0</v>
      </c>
      <c r="H134" s="342">
        <v>0</v>
      </c>
      <c r="I134" s="342">
        <v>0</v>
      </c>
      <c r="K134" s="340"/>
      <c r="L134" s="340"/>
      <c r="M134" s="340"/>
    </row>
    <row r="135" spans="1:13" x14ac:dyDescent="0.2">
      <c r="A135" s="343">
        <v>120</v>
      </c>
      <c r="B135" s="344" t="s">
        <v>297</v>
      </c>
      <c r="C135" s="348" t="s">
        <v>298</v>
      </c>
      <c r="D135" s="342">
        <f t="shared" si="4"/>
        <v>0</v>
      </c>
      <c r="E135" s="342">
        <v>0</v>
      </c>
      <c r="F135" s="342">
        <f t="shared" si="5"/>
        <v>0</v>
      </c>
      <c r="G135" s="342">
        <v>0</v>
      </c>
      <c r="H135" s="342">
        <v>0</v>
      </c>
      <c r="I135" s="342">
        <v>0</v>
      </c>
      <c r="K135" s="340"/>
      <c r="L135" s="340"/>
      <c r="M135" s="340"/>
    </row>
    <row r="136" spans="1:13" x14ac:dyDescent="0.2">
      <c r="A136" s="343">
        <v>121</v>
      </c>
      <c r="B136" s="222" t="s">
        <v>299</v>
      </c>
      <c r="C136" s="220" t="s">
        <v>300</v>
      </c>
      <c r="D136" s="342">
        <f t="shared" si="4"/>
        <v>0</v>
      </c>
      <c r="E136" s="342">
        <v>0</v>
      </c>
      <c r="F136" s="342">
        <f t="shared" si="5"/>
        <v>0</v>
      </c>
      <c r="G136" s="342">
        <v>0</v>
      </c>
      <c r="H136" s="342">
        <v>0</v>
      </c>
      <c r="I136" s="342">
        <v>0</v>
      </c>
      <c r="K136" s="340"/>
      <c r="L136" s="340"/>
      <c r="M136" s="340"/>
    </row>
    <row r="137" spans="1:13" x14ac:dyDescent="0.2">
      <c r="A137" s="343">
        <v>122</v>
      </c>
      <c r="B137" s="347" t="s">
        <v>301</v>
      </c>
      <c r="C137" s="348" t="s">
        <v>302</v>
      </c>
      <c r="D137" s="342">
        <f t="shared" si="4"/>
        <v>0</v>
      </c>
      <c r="E137" s="342">
        <v>0</v>
      </c>
      <c r="F137" s="342">
        <f t="shared" si="5"/>
        <v>0</v>
      </c>
      <c r="G137" s="342">
        <v>0</v>
      </c>
      <c r="H137" s="342">
        <v>0</v>
      </c>
      <c r="I137" s="342">
        <v>0</v>
      </c>
      <c r="K137" s="340"/>
      <c r="L137" s="340"/>
      <c r="M137" s="340"/>
    </row>
    <row r="138" spans="1:13" x14ac:dyDescent="0.2">
      <c r="A138" s="343">
        <v>123</v>
      </c>
      <c r="B138" s="347" t="s">
        <v>16</v>
      </c>
      <c r="C138" s="348" t="s">
        <v>17</v>
      </c>
      <c r="D138" s="342">
        <f t="shared" si="4"/>
        <v>0</v>
      </c>
      <c r="E138" s="342">
        <v>0</v>
      </c>
      <c r="F138" s="342">
        <f t="shared" si="5"/>
        <v>0</v>
      </c>
      <c r="G138" s="342">
        <v>0</v>
      </c>
      <c r="H138" s="342">
        <v>0</v>
      </c>
      <c r="I138" s="342">
        <v>0</v>
      </c>
      <c r="K138" s="340"/>
      <c r="L138" s="340"/>
      <c r="M138" s="340"/>
    </row>
    <row r="139" spans="1:13" x14ac:dyDescent="0.2">
      <c r="A139" s="343">
        <v>124</v>
      </c>
      <c r="B139" s="347" t="s">
        <v>68</v>
      </c>
      <c r="C139" s="348" t="s">
        <v>69</v>
      </c>
      <c r="D139" s="342">
        <f t="shared" si="4"/>
        <v>0</v>
      </c>
      <c r="E139" s="342">
        <v>0</v>
      </c>
      <c r="F139" s="342">
        <f t="shared" si="5"/>
        <v>0</v>
      </c>
      <c r="G139" s="342">
        <v>0</v>
      </c>
      <c r="H139" s="342">
        <v>0</v>
      </c>
      <c r="I139" s="342">
        <v>0</v>
      </c>
      <c r="K139" s="340"/>
      <c r="L139" s="340"/>
      <c r="M139" s="340"/>
    </row>
    <row r="140" spans="1:13" x14ac:dyDescent="0.2">
      <c r="A140" s="343">
        <v>125</v>
      </c>
      <c r="B140" s="222" t="s">
        <v>60</v>
      </c>
      <c r="C140" s="220" t="s">
        <v>303</v>
      </c>
      <c r="D140" s="342">
        <f t="shared" si="4"/>
        <v>25853</v>
      </c>
      <c r="E140" s="342">
        <v>0</v>
      </c>
      <c r="F140" s="342">
        <f t="shared" si="5"/>
        <v>25853</v>
      </c>
      <c r="G140" s="342">
        <v>3152</v>
      </c>
      <c r="H140" s="342">
        <v>0</v>
      </c>
      <c r="I140" s="342">
        <v>22701</v>
      </c>
      <c r="K140" s="340"/>
      <c r="L140" s="340"/>
      <c r="M140" s="340"/>
    </row>
    <row r="141" spans="1:13" x14ac:dyDescent="0.2">
      <c r="A141" s="343">
        <v>126</v>
      </c>
      <c r="B141" s="346" t="s">
        <v>56</v>
      </c>
      <c r="C141" s="220" t="s">
        <v>304</v>
      </c>
      <c r="D141" s="342">
        <f t="shared" si="4"/>
        <v>20364</v>
      </c>
      <c r="E141" s="342">
        <v>0</v>
      </c>
      <c r="F141" s="342">
        <f t="shared" si="5"/>
        <v>20364</v>
      </c>
      <c r="G141" s="342">
        <v>7797</v>
      </c>
      <c r="H141" s="342">
        <v>104</v>
      </c>
      <c r="I141" s="342">
        <v>12463</v>
      </c>
      <c r="K141" s="340"/>
      <c r="L141" s="340"/>
      <c r="M141" s="340"/>
    </row>
    <row r="142" spans="1:13" x14ac:dyDescent="0.2">
      <c r="A142" s="343">
        <v>127</v>
      </c>
      <c r="B142" s="347" t="s">
        <v>305</v>
      </c>
      <c r="C142" s="348" t="s">
        <v>306</v>
      </c>
      <c r="D142" s="342">
        <f t="shared" ref="D142:D150" si="6">E142+F142</f>
        <v>0</v>
      </c>
      <c r="E142" s="342">
        <v>0</v>
      </c>
      <c r="F142" s="342">
        <f t="shared" ref="F142:F150" si="7">G142+H142+I142</f>
        <v>0</v>
      </c>
      <c r="G142" s="342">
        <v>0</v>
      </c>
      <c r="H142" s="342">
        <v>0</v>
      </c>
      <c r="I142" s="342">
        <v>0</v>
      </c>
      <c r="K142" s="340"/>
      <c r="L142" s="340"/>
      <c r="M142" s="340"/>
    </row>
    <row r="143" spans="1:13" x14ac:dyDescent="0.2">
      <c r="A143" s="343">
        <v>128</v>
      </c>
      <c r="B143" s="344" t="s">
        <v>307</v>
      </c>
      <c r="C143" s="345" t="s">
        <v>308</v>
      </c>
      <c r="D143" s="342">
        <f t="shared" si="6"/>
        <v>0</v>
      </c>
      <c r="E143" s="342">
        <v>0</v>
      </c>
      <c r="F143" s="342">
        <f t="shared" si="7"/>
        <v>0</v>
      </c>
      <c r="G143" s="342">
        <v>0</v>
      </c>
      <c r="H143" s="342">
        <v>0</v>
      </c>
      <c r="I143" s="342">
        <v>0</v>
      </c>
      <c r="K143" s="340"/>
      <c r="L143" s="340"/>
      <c r="M143" s="340"/>
    </row>
    <row r="144" spans="1:13" x14ac:dyDescent="0.2">
      <c r="A144" s="343">
        <v>129</v>
      </c>
      <c r="B144" s="347" t="s">
        <v>309</v>
      </c>
      <c r="C144" s="348" t="s">
        <v>310</v>
      </c>
      <c r="D144" s="342">
        <f t="shared" si="6"/>
        <v>0</v>
      </c>
      <c r="E144" s="342">
        <v>0</v>
      </c>
      <c r="F144" s="342">
        <f t="shared" si="7"/>
        <v>0</v>
      </c>
      <c r="G144" s="342">
        <v>0</v>
      </c>
      <c r="H144" s="342">
        <v>0</v>
      </c>
      <c r="I144" s="342">
        <v>0</v>
      </c>
      <c r="K144" s="340"/>
      <c r="L144" s="340"/>
      <c r="M144" s="340"/>
    </row>
    <row r="145" spans="1:13" x14ac:dyDescent="0.2">
      <c r="A145" s="343">
        <v>130</v>
      </c>
      <c r="B145" s="355" t="s">
        <v>311</v>
      </c>
      <c r="C145" s="356" t="s">
        <v>312</v>
      </c>
      <c r="D145" s="342">
        <f t="shared" si="6"/>
        <v>0</v>
      </c>
      <c r="E145" s="342">
        <v>0</v>
      </c>
      <c r="F145" s="342">
        <f t="shared" si="7"/>
        <v>0</v>
      </c>
      <c r="G145" s="342">
        <v>0</v>
      </c>
      <c r="H145" s="342">
        <v>0</v>
      </c>
      <c r="I145" s="342">
        <v>0</v>
      </c>
      <c r="K145" s="340"/>
      <c r="L145" s="340"/>
      <c r="M145" s="340"/>
    </row>
    <row r="146" spans="1:13" x14ac:dyDescent="0.2">
      <c r="A146" s="343">
        <v>131</v>
      </c>
      <c r="B146" s="357" t="s">
        <v>313</v>
      </c>
      <c r="C146" s="358" t="s">
        <v>314</v>
      </c>
      <c r="D146" s="342">
        <f t="shared" si="6"/>
        <v>0</v>
      </c>
      <c r="E146" s="342">
        <v>0</v>
      </c>
      <c r="F146" s="342">
        <f t="shared" si="7"/>
        <v>0</v>
      </c>
      <c r="G146" s="342">
        <v>0</v>
      </c>
      <c r="H146" s="342">
        <v>0</v>
      </c>
      <c r="I146" s="342">
        <v>0</v>
      </c>
      <c r="K146" s="340"/>
      <c r="L146" s="340"/>
      <c r="M146" s="340"/>
    </row>
    <row r="147" spans="1:13" x14ac:dyDescent="0.2">
      <c r="A147" s="343">
        <v>132</v>
      </c>
      <c r="B147" s="359" t="s">
        <v>315</v>
      </c>
      <c r="C147" s="360" t="s">
        <v>316</v>
      </c>
      <c r="D147" s="342">
        <f t="shared" si="6"/>
        <v>0</v>
      </c>
      <c r="E147" s="342">
        <v>0</v>
      </c>
      <c r="F147" s="342">
        <f t="shared" si="7"/>
        <v>0</v>
      </c>
      <c r="G147" s="342">
        <v>0</v>
      </c>
      <c r="H147" s="342">
        <v>0</v>
      </c>
      <c r="I147" s="342">
        <v>0</v>
      </c>
      <c r="K147" s="340"/>
      <c r="L147" s="340"/>
      <c r="M147" s="340"/>
    </row>
    <row r="148" spans="1:13" x14ac:dyDescent="0.2">
      <c r="A148" s="343">
        <v>133</v>
      </c>
      <c r="B148" s="343" t="s">
        <v>317</v>
      </c>
      <c r="C148" s="361" t="s">
        <v>318</v>
      </c>
      <c r="D148" s="342">
        <f t="shared" si="6"/>
        <v>0</v>
      </c>
      <c r="E148" s="342">
        <v>0</v>
      </c>
      <c r="F148" s="342">
        <f t="shared" si="7"/>
        <v>0</v>
      </c>
      <c r="G148" s="342">
        <v>0</v>
      </c>
      <c r="H148" s="342">
        <v>0</v>
      </c>
      <c r="I148" s="342">
        <v>0</v>
      </c>
      <c r="K148" s="340"/>
      <c r="L148" s="340"/>
      <c r="M148" s="340"/>
    </row>
    <row r="149" spans="1:13" x14ac:dyDescent="0.2">
      <c r="A149" s="343">
        <v>134</v>
      </c>
      <c r="B149" s="802" t="s">
        <v>319</v>
      </c>
      <c r="C149" s="803" t="s">
        <v>320</v>
      </c>
      <c r="D149" s="342">
        <f t="shared" si="6"/>
        <v>0</v>
      </c>
      <c r="E149" s="342">
        <v>0</v>
      </c>
      <c r="F149" s="342">
        <f t="shared" si="7"/>
        <v>0</v>
      </c>
      <c r="G149" s="342">
        <v>0</v>
      </c>
      <c r="H149" s="342">
        <v>0</v>
      </c>
      <c r="I149" s="204">
        <v>0</v>
      </c>
      <c r="K149" s="340"/>
      <c r="L149" s="340"/>
      <c r="M149" s="340"/>
    </row>
    <row r="150" spans="1:13" x14ac:dyDescent="0.2">
      <c r="A150" s="343">
        <v>135</v>
      </c>
      <c r="B150" s="804" t="s">
        <v>728</v>
      </c>
      <c r="C150" s="805" t="s">
        <v>729</v>
      </c>
      <c r="D150" s="342">
        <f t="shared" si="6"/>
        <v>0</v>
      </c>
      <c r="E150" s="342">
        <v>0</v>
      </c>
      <c r="F150" s="342">
        <f t="shared" si="7"/>
        <v>0</v>
      </c>
      <c r="G150" s="342">
        <v>0</v>
      </c>
      <c r="H150" s="342">
        <v>0</v>
      </c>
      <c r="I150" s="204">
        <v>0</v>
      </c>
      <c r="M150" s="340"/>
    </row>
    <row r="152" spans="1:13" ht="59.25" customHeight="1" x14ac:dyDescent="0.2">
      <c r="A152" s="1070" t="s">
        <v>745</v>
      </c>
      <c r="B152" s="1070"/>
      <c r="C152" s="1070"/>
      <c r="D152" s="1070"/>
      <c r="E152" s="1070"/>
      <c r="F152" s="1070"/>
      <c r="G152" s="1070"/>
      <c r="H152" s="1070"/>
      <c r="I152" s="1070"/>
    </row>
  </sheetData>
  <mergeCells count="18">
    <mergeCell ref="A152:I152"/>
    <mergeCell ref="G7:G8"/>
    <mergeCell ref="H7:I7"/>
    <mergeCell ref="A10:C10"/>
    <mergeCell ref="A11:C11"/>
    <mergeCell ref="A12:C12"/>
    <mergeCell ref="A91:A94"/>
    <mergeCell ref="B91:B94"/>
    <mergeCell ref="A1:I1"/>
    <mergeCell ref="A3:A8"/>
    <mergeCell ref="B3:B8"/>
    <mergeCell ref="C3:C8"/>
    <mergeCell ref="D3:I3"/>
    <mergeCell ref="D4:D8"/>
    <mergeCell ref="E4:I5"/>
    <mergeCell ref="E6:E8"/>
    <mergeCell ref="F6:I6"/>
    <mergeCell ref="F7:F8"/>
  </mergeCells>
  <pageMargins left="0.31496062992125984" right="0.31496062992125984" top="0.35433070866141736" bottom="0.35433070866141736" header="0.31496062992125984" footer="0.31496062992125984"/>
  <pageSetup paperSize="9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15</vt:i4>
      </vt:variant>
    </vt:vector>
  </HeadingPairs>
  <TitlesOfParts>
    <vt:vector size="48" baseType="lpstr">
      <vt:lpstr>Объемы КС (Пр.6-24)</vt:lpstr>
      <vt:lpstr>ВМП КС (Пр.6-24)</vt:lpstr>
      <vt:lpstr>ДС(05-24)</vt:lpstr>
      <vt:lpstr>ВМП ДС (пр.03-24)</vt:lpstr>
      <vt:lpstr>Гемодиализ (пр.05-24)</vt:lpstr>
      <vt:lpstr>Проф.Свод Пр.5-24</vt:lpstr>
      <vt:lpstr>Углуб.диспан.(Пр.5-24) </vt:lpstr>
      <vt:lpstr>Диспан.репрод.возраста Пр.3-24</vt:lpstr>
      <vt:lpstr>Посещ. по диспн.набл.(Пр.3-24)</vt:lpstr>
      <vt:lpstr>Раз.пос.(Пр.5-24)  </vt:lpstr>
      <vt:lpstr>Пос.сред.мед.персон (Пр.5-24)  </vt:lpstr>
      <vt:lpstr>Пос с др.целями(Пр.5-24)    </vt:lpstr>
      <vt:lpstr>Школа сахар. диабета Пр.5-24</vt:lpstr>
      <vt:lpstr>Центры здоровья (Пр.20-23)</vt:lpstr>
      <vt:lpstr>Иссл.кала на скр.кр.(Пр.20-23)</vt:lpstr>
      <vt:lpstr>Комп.пос. диспан.набл.Пр.4-24 </vt:lpstr>
      <vt:lpstr>Посещения неотл. (Пр.5-24)</vt:lpstr>
      <vt:lpstr>Обращения 6-24 </vt:lpstr>
      <vt:lpstr>Мед.реаб.в АПУ 5-24 </vt:lpstr>
      <vt:lpstr>Долечивание, кибер-нож (20-23)</vt:lpstr>
      <vt:lpstr>Венерология (20-23)</vt:lpstr>
      <vt:lpstr>Паллиативная МП (4-24)</vt:lpstr>
      <vt:lpstr>Наркология (5-24)</vt:lpstr>
      <vt:lpstr>Психотерапия (20-23)</vt:lpstr>
      <vt:lpstr>Фтизиатрия (5-24)</vt:lpstr>
      <vt:lpstr>КТ, МРТ (Пр.6-24)</vt:lpstr>
      <vt:lpstr>УЗИ ссс(Пр.5-24)</vt:lpstr>
      <vt:lpstr>ЭИ, ПАИ, МГИ(Пр.5-24)</vt:lpstr>
      <vt:lpstr>COVID(Пр. 20-23)</vt:lpstr>
      <vt:lpstr>ОРВИ, ГРИПП(Пр.4-24)</vt:lpstr>
      <vt:lpstr>РД,ЛУЧ,КТПЭТ,УЗИскр,ХП Пр.20-23</vt:lpstr>
      <vt:lpstr>СМП 2024 (20-23)</vt:lpstr>
      <vt:lpstr>Лист4</vt:lpstr>
      <vt:lpstr>'ВМП КС (Пр.6-24)'!Заголовки_для_печати</vt:lpstr>
      <vt:lpstr>'Комп.пос. диспан.набл.Пр.4-24 '!Заголовки_для_печати</vt:lpstr>
      <vt:lpstr>'Обращения 6-24 '!Заголовки_для_печати</vt:lpstr>
      <vt:lpstr>'Объемы КС (Пр.6-24)'!Заголовки_для_печати</vt:lpstr>
      <vt:lpstr>'Пос с др.целями(Пр.5-24)    '!Заголовки_для_печати</vt:lpstr>
      <vt:lpstr>'Пос.сред.мед.персон (Пр.5-24)  '!Заголовки_для_печати</vt:lpstr>
      <vt:lpstr>'Посещ. по диспн.набл.(Пр.3-24)'!Заголовки_для_печати</vt:lpstr>
      <vt:lpstr>'Проф.Свод Пр.5-24'!Заголовки_для_печати</vt:lpstr>
      <vt:lpstr>'Раз.пос.(Пр.5-24)  '!Заголовки_для_печати</vt:lpstr>
      <vt:lpstr>'СМП 2024 (20-23)'!Заголовки_для_печати</vt:lpstr>
      <vt:lpstr>'Углуб.диспан.(Пр.5-24) '!Заголовки_для_печати</vt:lpstr>
      <vt:lpstr>'Школа сахар. диабета Пр.5-24'!Заголовки_для_печати</vt:lpstr>
      <vt:lpstr>'Объемы КС (Пр.6-24)'!Область_печати</vt:lpstr>
      <vt:lpstr>'Центры здоровья (Пр.20-23)'!Область_печати</vt:lpstr>
      <vt:lpstr>'ЭИ, ПАИ, МГИ(Пр.5-24)'!Область_печати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Ардеева Г.М.</dc:creator>
  <cp:lastModifiedBy>Елена Мустафина</cp:lastModifiedBy>
  <cp:lastPrinted>2024-04-23T10:01:26Z</cp:lastPrinted>
  <dcterms:created xsi:type="dcterms:W3CDTF">2023-12-13T04:20:18Z</dcterms:created>
  <dcterms:modified xsi:type="dcterms:W3CDTF">2024-05-28T04:11:47Z</dcterms:modified>
</cp:coreProperties>
</file>