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8"/>
  <workbookPr filterPrivacy="1" defaultThemeVersion="124226"/>
  <xr:revisionPtr revIDLastSave="0" documentId="13_ncr:1_{F624976E-6BAB-4E38-AC4D-9B9F57B5751A}" xr6:coauthVersionLast="36" xr6:coauthVersionMax="36" xr10:uidLastSave="{00000000-0000-0000-0000-000000000000}"/>
  <bookViews>
    <workbookView xWindow="0" yWindow="0" windowWidth="28800" windowHeight="11025" xr2:uid="{00000000-000D-0000-FFFF-FFFF00000000}"/>
  </bookViews>
  <sheets>
    <sheet name="КС Пр. 9-23" sheetId="61" r:id="rId1"/>
    <sheet name="ВМП КС Пр.9-23" sheetId="60" r:id="rId2"/>
    <sheet name="ДС (пр.09-23)" sheetId="62" r:id="rId3"/>
    <sheet name="ВМП ДС (пр.20-22)" sheetId="27" r:id="rId4"/>
    <sheet name="Проф.Свод Пр.9-23 " sheetId="66" r:id="rId5"/>
    <sheet name="Раз.пос.Пр.9-23" sheetId="67" r:id="rId6"/>
    <sheet name="Пос с др.целями Пр.9-23" sheetId="68" r:id="rId7"/>
    <sheet name="Посещения СМП Пр.9-23" sheetId="69" r:id="rId8"/>
    <sheet name="Школа сахарного диабета Пр.9-23" sheetId="70" r:id="rId9"/>
    <sheet name="Дисп. наблюдение Свод Пр.9-23" sheetId="71" r:id="rId10"/>
    <sheet name="Диспан.набл.взрослых Пр.9-23" sheetId="72" r:id="rId11"/>
    <sheet name="Углуб.дисп.Пр. 9-23" sheetId="73" r:id="rId12"/>
    <sheet name="Центры здоровья Пр.20-22" sheetId="5" r:id="rId13"/>
    <sheet name="ДВН центр.исслед.Пр.9-23" sheetId="74" r:id="rId14"/>
    <sheet name="СМП (20-22)" sheetId="12" r:id="rId15"/>
    <sheet name="Посещения неотл. 9-23" sheetId="13" r:id="rId16"/>
    <sheet name="Обращения 9-23 " sheetId="64" r:id="rId17"/>
    <sheet name="Мед.реаб. в АПУ 9-23 " sheetId="65" r:id="rId18"/>
    <sheet name="Долечивание, кибер-нож Пр.20-22" sheetId="22" r:id="rId19"/>
    <sheet name="Венерология Пр. 9-23" sheetId="21" r:id="rId20"/>
    <sheet name="Паллиативная МП Пр. 9-23" sheetId="20" r:id="rId21"/>
    <sheet name="Психотерапия Пр. 9-23" sheetId="19" r:id="rId22"/>
    <sheet name="Наркология Пр. 9-23" sheetId="25" r:id="rId23"/>
    <sheet name="Фтизиатрия Пр.9-23" sheetId="24" r:id="rId24"/>
    <sheet name="КТ, МРТ  Пр. 9-23" sheetId="30" r:id="rId25"/>
    <sheet name="УЗИ ССС 9-23" sheetId="31" r:id="rId26"/>
    <sheet name="ЭИ, ПАИ, МГИ Пр. 9-23" sheetId="32" r:id="rId27"/>
    <sheet name="ПЦР 9-23" sheetId="33" r:id="rId28"/>
    <sheet name="РД, ПЭТ, УЗИ 9-23" sheetId="35" r:id="rId29"/>
    <sheet name="гемодиализ (пр.09-23) " sheetId="56" r:id="rId30"/>
    <sheet name="Объемы ОРВИ, Грипп 9-23" sheetId="4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9">#REF!</definedName>
    <definedName name="__xlnm.Print_Area_2" localSheetId="10">#REF!</definedName>
    <definedName name="__xlnm.Print_Area_2" localSheetId="0">#REF!</definedName>
    <definedName name="__xlnm.Print_Area_2" localSheetId="24">#REF!</definedName>
    <definedName name="__xlnm.Print_Area_2" localSheetId="17">#REF!</definedName>
    <definedName name="__xlnm.Print_Area_2" localSheetId="16">#REF!</definedName>
    <definedName name="__xlnm.Print_Area_2" localSheetId="30">#REF!</definedName>
    <definedName name="__xlnm.Print_Area_2" localSheetId="6">#REF!</definedName>
    <definedName name="__xlnm.Print_Area_2" localSheetId="7">#REF!</definedName>
    <definedName name="__xlnm.Print_Area_2" localSheetId="4">#REF!</definedName>
    <definedName name="__xlnm.Print_Area_2" localSheetId="5">#REF!</definedName>
    <definedName name="__xlnm.Print_Area_2" localSheetId="28">#REF!</definedName>
    <definedName name="__xlnm.Print_Area_2" localSheetId="11">#REF!</definedName>
    <definedName name="__xlnm.Print_Area_2" localSheetId="25">#REF!</definedName>
    <definedName name="__xlnm.Print_Area_2" localSheetId="12">#REF!</definedName>
    <definedName name="__xlnm.Print_Area_2" localSheetId="8">#REF!</definedName>
    <definedName name="__xlnm.Print_Area_2" localSheetId="26">#REF!</definedName>
    <definedName name="_xlnm._FilterDatabase" localSheetId="1" hidden="1">'ВМП КС Пр.9-23'!$A$5:$AL$93</definedName>
    <definedName name="_xlnm._FilterDatabase" localSheetId="2" hidden="1">'ДС (пр.09-23)'!#REF!</definedName>
    <definedName name="_xlnm._FilterDatabase" localSheetId="0" hidden="1">'КС Пр. 9-23'!$A$4:$WVS$140</definedName>
    <definedName name="_xlnm._FilterDatabase" localSheetId="24" hidden="1">'КТ, МРТ  Пр. 9-23'!$A$7:$N$54</definedName>
    <definedName name="_xlnm._FilterDatabase" localSheetId="30" hidden="1">'Объемы ОРВИ, Грипп 9-23'!$B$6:$D$27</definedName>
    <definedName name="_xlnm._FilterDatabase" localSheetId="27" hidden="1">'ПЦР 9-23'!$B$6:$D$27</definedName>
    <definedName name="_xlnm._FilterDatabase" localSheetId="28" hidden="1">'РД, ПЭТ, УЗИ 9-23'!$A$5:$S$27</definedName>
    <definedName name="_xlnm._FilterDatabase" localSheetId="14" hidden="1">'СМП (20-22)'!$A$7:$L$22</definedName>
    <definedName name="_xlnm._FilterDatabase" localSheetId="11" hidden="1">'Углуб.дисп.Пр. 9-23'!#REF!</definedName>
    <definedName name="_xlnm._FilterDatabase" localSheetId="25" hidden="1">'УЗИ ССС 9-23'!$A$5:$G$5</definedName>
    <definedName name="_xlnm._FilterDatabase" localSheetId="8" hidden="1">'Школа сахарного диабета Пр.9-23'!#REF!</definedName>
    <definedName name="_xlnm._FilterDatabase" localSheetId="26" hidden="1">'ЭИ, ПАИ, МГИ Пр. 9-23'!$A$8:$Y$97</definedName>
    <definedName name="Kbcn" localSheetId="3">#REF!</definedName>
    <definedName name="Kbcn" localSheetId="1">#REF!</definedName>
    <definedName name="Kbcn" localSheetId="13">#REF!</definedName>
    <definedName name="Kbcn" localSheetId="9">#REF!</definedName>
    <definedName name="Kbcn" localSheetId="10">#REF!</definedName>
    <definedName name="Kbcn" localSheetId="0">#REF!</definedName>
    <definedName name="Kbcn" localSheetId="24">#REF!</definedName>
    <definedName name="Kbcn" localSheetId="17">#REF!</definedName>
    <definedName name="Kbcn" localSheetId="16">#REF!</definedName>
    <definedName name="Kbcn" localSheetId="30">#REF!</definedName>
    <definedName name="Kbcn" localSheetId="6">#REF!</definedName>
    <definedName name="Kbcn" localSheetId="7">#REF!</definedName>
    <definedName name="Kbcn" localSheetId="4">#REF!</definedName>
    <definedName name="Kbcn" localSheetId="5">#REF!</definedName>
    <definedName name="Kbcn" localSheetId="28">#REF!</definedName>
    <definedName name="Kbcn" localSheetId="11">#REF!</definedName>
    <definedName name="Kbcn" localSheetId="25">#REF!</definedName>
    <definedName name="Kbcn" localSheetId="8">#REF!</definedName>
    <definedName name="Kbcn" localSheetId="26">#REF!</definedName>
    <definedName name="Neot_17" localSheetId="3">#REF!</definedName>
    <definedName name="Neot_17" localSheetId="1">#REF!</definedName>
    <definedName name="Neot_17" localSheetId="13">#REF!</definedName>
    <definedName name="Neot_17" localSheetId="9">#REF!</definedName>
    <definedName name="Neot_17" localSheetId="10">#REF!</definedName>
    <definedName name="Neot_17" localSheetId="0">#REF!</definedName>
    <definedName name="Neot_17" localSheetId="24">#REF!</definedName>
    <definedName name="Neot_17" localSheetId="17">#REF!</definedName>
    <definedName name="Neot_17" localSheetId="16">#REF!</definedName>
    <definedName name="Neot_17" localSheetId="30">#REF!</definedName>
    <definedName name="Neot_17" localSheetId="6">#REF!</definedName>
    <definedName name="Neot_17" localSheetId="7">#REF!</definedName>
    <definedName name="Neot_17" localSheetId="4">#REF!</definedName>
    <definedName name="Neot_17" localSheetId="5">#REF!</definedName>
    <definedName name="Neot_17" localSheetId="28">#REF!</definedName>
    <definedName name="Neot_17" localSheetId="11">#REF!</definedName>
    <definedName name="Neot_17" localSheetId="25">#REF!</definedName>
    <definedName name="Neot_17" localSheetId="12">#REF!</definedName>
    <definedName name="Neot_17" localSheetId="8">#REF!</definedName>
    <definedName name="Neot_17" localSheetId="26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9">#REF!</definedName>
    <definedName name="res2_range" localSheetId="10">#REF!</definedName>
    <definedName name="res2_range" localSheetId="0">#REF!</definedName>
    <definedName name="res2_range" localSheetId="24">#REF!</definedName>
    <definedName name="res2_range" localSheetId="17">#REF!</definedName>
    <definedName name="res2_range" localSheetId="16">#REF!</definedName>
    <definedName name="res2_range" localSheetId="30">#REF!</definedName>
    <definedName name="res2_range" localSheetId="6">#REF!</definedName>
    <definedName name="res2_range" localSheetId="7">#REF!</definedName>
    <definedName name="res2_range" localSheetId="4">#REF!</definedName>
    <definedName name="res2_range" localSheetId="5">#REF!</definedName>
    <definedName name="res2_range" localSheetId="28">#REF!</definedName>
    <definedName name="res2_range" localSheetId="11">#REF!</definedName>
    <definedName name="res2_range" localSheetId="25">#REF!</definedName>
    <definedName name="res2_range" localSheetId="12">#REF!</definedName>
    <definedName name="res2_range" localSheetId="8">#REF!</definedName>
    <definedName name="res2_range" localSheetId="26">#REF!</definedName>
    <definedName name="Tg_CZ" localSheetId="3">#REF!</definedName>
    <definedName name="Tg_CZ" localSheetId="1">#REF!</definedName>
    <definedName name="Tg_CZ" localSheetId="13">#REF!</definedName>
    <definedName name="Tg_CZ" localSheetId="9">#REF!</definedName>
    <definedName name="Tg_CZ" localSheetId="10">#REF!</definedName>
    <definedName name="Tg_CZ" localSheetId="24">#REF!</definedName>
    <definedName name="Tg_CZ" localSheetId="17">#REF!</definedName>
    <definedName name="Tg_CZ" localSheetId="16">#REF!</definedName>
    <definedName name="Tg_CZ" localSheetId="30">#REF!</definedName>
    <definedName name="Tg_CZ" localSheetId="6">#REF!</definedName>
    <definedName name="Tg_CZ" localSheetId="7">#REF!</definedName>
    <definedName name="Tg_CZ" localSheetId="4">#REF!</definedName>
    <definedName name="Tg_CZ" localSheetId="5">#REF!</definedName>
    <definedName name="Tg_CZ" localSheetId="28">#REF!</definedName>
    <definedName name="Tg_CZ" localSheetId="11">#REF!</definedName>
    <definedName name="Tg_CZ" localSheetId="25">#REF!</definedName>
    <definedName name="Tg_CZ" localSheetId="12">#REF!</definedName>
    <definedName name="Tg_CZ" localSheetId="8">#REF!</definedName>
    <definedName name="Tg_CZ" localSheetId="26">#REF!</definedName>
    <definedName name="Tg_Disp" localSheetId="3">#REF!</definedName>
    <definedName name="Tg_Disp" localSheetId="1">#REF!</definedName>
    <definedName name="Tg_Disp" localSheetId="13">#REF!</definedName>
    <definedName name="Tg_Disp" localSheetId="9">#REF!</definedName>
    <definedName name="Tg_Disp" localSheetId="10">#REF!</definedName>
    <definedName name="Tg_Disp" localSheetId="24">#REF!</definedName>
    <definedName name="Tg_Disp" localSheetId="17">#REF!</definedName>
    <definedName name="Tg_Disp" localSheetId="16">#REF!</definedName>
    <definedName name="Tg_Disp" localSheetId="30">#REF!</definedName>
    <definedName name="Tg_Disp" localSheetId="6">#REF!</definedName>
    <definedName name="Tg_Disp" localSheetId="7">#REF!</definedName>
    <definedName name="Tg_Disp" localSheetId="4">#REF!</definedName>
    <definedName name="Tg_Disp" localSheetId="5">#REF!</definedName>
    <definedName name="Tg_Disp" localSheetId="28">#REF!</definedName>
    <definedName name="Tg_Disp" localSheetId="11">#REF!</definedName>
    <definedName name="Tg_Disp" localSheetId="25">#REF!</definedName>
    <definedName name="Tg_Disp" localSheetId="12">#REF!</definedName>
    <definedName name="Tg_Disp" localSheetId="8">#REF!</definedName>
    <definedName name="Tg_Disp" localSheetId="26">#REF!</definedName>
    <definedName name="Tg_Geri" localSheetId="3">#REF!</definedName>
    <definedName name="Tg_Geri" localSheetId="1">#REF!</definedName>
    <definedName name="Tg_Geri" localSheetId="13">#REF!</definedName>
    <definedName name="Tg_Geri" localSheetId="9">#REF!</definedName>
    <definedName name="Tg_Geri" localSheetId="10">#REF!</definedName>
    <definedName name="Tg_Geri" localSheetId="24">#REF!</definedName>
    <definedName name="Tg_Geri" localSheetId="17">#REF!</definedName>
    <definedName name="Tg_Geri" localSheetId="16">#REF!</definedName>
    <definedName name="Tg_Geri" localSheetId="30">#REF!</definedName>
    <definedName name="Tg_Geri" localSheetId="6">#REF!</definedName>
    <definedName name="Tg_Geri" localSheetId="7">#REF!</definedName>
    <definedName name="Tg_Geri" localSheetId="4">#REF!</definedName>
    <definedName name="Tg_Geri" localSheetId="5">#REF!</definedName>
    <definedName name="Tg_Geri" localSheetId="28">#REF!</definedName>
    <definedName name="Tg_Geri" localSheetId="11">#REF!</definedName>
    <definedName name="Tg_Geri" localSheetId="25">#REF!</definedName>
    <definedName name="Tg_Geri" localSheetId="12">#REF!</definedName>
    <definedName name="Tg_Geri" localSheetId="8">#REF!</definedName>
    <definedName name="Tg_Geri" localSheetId="26">#REF!</definedName>
    <definedName name="Tg_Kons" localSheetId="3">#REF!</definedName>
    <definedName name="Tg_Kons" localSheetId="1">#REF!</definedName>
    <definedName name="Tg_Kons" localSheetId="13">#REF!</definedName>
    <definedName name="Tg_Kons" localSheetId="9">#REF!</definedName>
    <definedName name="Tg_Kons" localSheetId="10">#REF!</definedName>
    <definedName name="Tg_Kons" localSheetId="24">#REF!</definedName>
    <definedName name="Tg_Kons" localSheetId="17">#REF!</definedName>
    <definedName name="Tg_Kons" localSheetId="16">#REF!</definedName>
    <definedName name="Tg_Kons" localSheetId="30">#REF!</definedName>
    <definedName name="Tg_Kons" localSheetId="6">#REF!</definedName>
    <definedName name="Tg_Kons" localSheetId="7">#REF!</definedName>
    <definedName name="Tg_Kons" localSheetId="4">#REF!</definedName>
    <definedName name="Tg_Kons" localSheetId="5">#REF!</definedName>
    <definedName name="Tg_Kons" localSheetId="28">#REF!</definedName>
    <definedName name="Tg_Kons" localSheetId="11">#REF!</definedName>
    <definedName name="Tg_Kons" localSheetId="25">#REF!</definedName>
    <definedName name="Tg_Kons" localSheetId="12">#REF!</definedName>
    <definedName name="Tg_Kons" localSheetId="8">#REF!</definedName>
    <definedName name="Tg_Kons" localSheetId="26">#REF!</definedName>
    <definedName name="Tg_Med" localSheetId="3">#REF!</definedName>
    <definedName name="Tg_Med" localSheetId="1">#REF!</definedName>
    <definedName name="Tg_Med" localSheetId="13">#REF!</definedName>
    <definedName name="Tg_Med" localSheetId="9">#REF!</definedName>
    <definedName name="Tg_Med" localSheetId="10">#REF!</definedName>
    <definedName name="Tg_Med" localSheetId="24">#REF!</definedName>
    <definedName name="Tg_Med" localSheetId="17">#REF!</definedName>
    <definedName name="Tg_Med" localSheetId="16">#REF!</definedName>
    <definedName name="Tg_Med" localSheetId="30">#REF!</definedName>
    <definedName name="Tg_Med" localSheetId="6">#REF!</definedName>
    <definedName name="Tg_Med" localSheetId="7">#REF!</definedName>
    <definedName name="Tg_Med" localSheetId="4">#REF!</definedName>
    <definedName name="Tg_Med" localSheetId="5">#REF!</definedName>
    <definedName name="Tg_Med" localSheetId="28">#REF!</definedName>
    <definedName name="Tg_Med" localSheetId="11">#REF!</definedName>
    <definedName name="Tg_Med" localSheetId="25">#REF!</definedName>
    <definedName name="Tg_Med" localSheetId="12">#REF!</definedName>
    <definedName name="Tg_Med" localSheetId="8">#REF!</definedName>
    <definedName name="Tg_Med" localSheetId="26">#REF!</definedName>
    <definedName name="Tg_Neot" localSheetId="3">#REF!</definedName>
    <definedName name="Tg_Neot" localSheetId="1">#REF!</definedName>
    <definedName name="Tg_Neot" localSheetId="13">#REF!</definedName>
    <definedName name="Tg_Neot" localSheetId="9">#REF!</definedName>
    <definedName name="Tg_Neot" localSheetId="10">#REF!</definedName>
    <definedName name="Tg_Neot" localSheetId="24">#REF!</definedName>
    <definedName name="Tg_Neot" localSheetId="17">#REF!</definedName>
    <definedName name="Tg_Neot" localSheetId="16">#REF!</definedName>
    <definedName name="Tg_Neot" localSheetId="30">#REF!</definedName>
    <definedName name="Tg_Neot" localSheetId="6">#REF!</definedName>
    <definedName name="Tg_Neot" localSheetId="7">#REF!</definedName>
    <definedName name="Tg_Neot" localSheetId="4">#REF!</definedName>
    <definedName name="Tg_Neot" localSheetId="5">#REF!</definedName>
    <definedName name="Tg_Neot" localSheetId="28">#REF!</definedName>
    <definedName name="Tg_Neot" localSheetId="11">#REF!</definedName>
    <definedName name="Tg_Neot" localSheetId="25">#REF!</definedName>
    <definedName name="Tg_Neot" localSheetId="12">#REF!</definedName>
    <definedName name="Tg_Neot" localSheetId="8">#REF!</definedName>
    <definedName name="Tg_Neot" localSheetId="26">#REF!</definedName>
    <definedName name="Tg_Nepr" localSheetId="3">#REF!</definedName>
    <definedName name="Tg_Nepr" localSheetId="1">#REF!</definedName>
    <definedName name="Tg_Nepr" localSheetId="13">#REF!</definedName>
    <definedName name="Tg_Nepr" localSheetId="9">#REF!</definedName>
    <definedName name="Tg_Nepr" localSheetId="10">#REF!</definedName>
    <definedName name="Tg_Nepr" localSheetId="24">#REF!</definedName>
    <definedName name="Tg_Nepr" localSheetId="17">#REF!</definedName>
    <definedName name="Tg_Nepr" localSheetId="16">#REF!</definedName>
    <definedName name="Tg_Nepr" localSheetId="30">#REF!</definedName>
    <definedName name="Tg_Nepr" localSheetId="6">#REF!</definedName>
    <definedName name="Tg_Nepr" localSheetId="7">#REF!</definedName>
    <definedName name="Tg_Nepr" localSheetId="4">#REF!</definedName>
    <definedName name="Tg_Nepr" localSheetId="5">#REF!</definedName>
    <definedName name="Tg_Nepr" localSheetId="28">#REF!</definedName>
    <definedName name="Tg_Nepr" localSheetId="11">#REF!</definedName>
    <definedName name="Tg_Nepr" localSheetId="25">#REF!</definedName>
    <definedName name="Tg_Nepr" localSheetId="12">#REF!</definedName>
    <definedName name="Tg_Nepr" localSheetId="8">#REF!</definedName>
    <definedName name="Tg_Nepr" localSheetId="26">#REF!</definedName>
    <definedName name="Tg_Obr" localSheetId="3">#REF!</definedName>
    <definedName name="Tg_Obr" localSheetId="1">#REF!</definedName>
    <definedName name="Tg_Obr" localSheetId="13">#REF!</definedName>
    <definedName name="Tg_Obr" localSheetId="9">#REF!</definedName>
    <definedName name="Tg_Obr" localSheetId="10">#REF!</definedName>
    <definedName name="Tg_Obr" localSheetId="24">#REF!</definedName>
    <definedName name="Tg_Obr" localSheetId="17">#REF!</definedName>
    <definedName name="Tg_Obr" localSheetId="16">#REF!</definedName>
    <definedName name="Tg_Obr" localSheetId="30">#REF!</definedName>
    <definedName name="Tg_Obr" localSheetId="6">#REF!</definedName>
    <definedName name="Tg_Obr" localSheetId="7">#REF!</definedName>
    <definedName name="Tg_Obr" localSheetId="4">#REF!</definedName>
    <definedName name="Tg_Obr" localSheetId="5">#REF!</definedName>
    <definedName name="Tg_Obr" localSheetId="28">#REF!</definedName>
    <definedName name="Tg_Obr" localSheetId="11">#REF!</definedName>
    <definedName name="Tg_Obr" localSheetId="25">#REF!</definedName>
    <definedName name="Tg_Obr" localSheetId="12">#REF!</definedName>
    <definedName name="Tg_Obr" localSheetId="8">#REF!</definedName>
    <definedName name="Tg_Obr" localSheetId="26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9">#REF!</definedName>
    <definedName name="Tg_Reestr" localSheetId="10">#REF!</definedName>
    <definedName name="Tg_Reestr" localSheetId="24">#REF!</definedName>
    <definedName name="Tg_Reestr" localSheetId="17">#REF!</definedName>
    <definedName name="Tg_Reestr" localSheetId="16">#REF!</definedName>
    <definedName name="Tg_Reestr" localSheetId="30">#REF!</definedName>
    <definedName name="Tg_Reestr" localSheetId="6">#REF!</definedName>
    <definedName name="Tg_Reestr" localSheetId="7">#REF!</definedName>
    <definedName name="Tg_Reestr" localSheetId="4">#REF!</definedName>
    <definedName name="Tg_Reestr" localSheetId="5">#REF!</definedName>
    <definedName name="Tg_Reestr" localSheetId="28">#REF!</definedName>
    <definedName name="Tg_Reestr" localSheetId="11">#REF!</definedName>
    <definedName name="Tg_Reestr" localSheetId="25">#REF!</definedName>
    <definedName name="Tg_Reestr" localSheetId="12">#REF!</definedName>
    <definedName name="Tg_Reestr" localSheetId="8">#REF!</definedName>
    <definedName name="Tg_Reestr" localSheetId="26">#REF!</definedName>
    <definedName name="TgDs" localSheetId="3">#REF!</definedName>
    <definedName name="TgDs" localSheetId="1">#REF!</definedName>
    <definedName name="TgDs" localSheetId="13">#REF!</definedName>
    <definedName name="TgDs" localSheetId="9">#REF!</definedName>
    <definedName name="TgDs" localSheetId="10">#REF!</definedName>
    <definedName name="TgDs" localSheetId="2">#REF!</definedName>
    <definedName name="TgDs" localSheetId="17">#REF!</definedName>
    <definedName name="TgDs" localSheetId="16">#REF!</definedName>
    <definedName name="TgDs" localSheetId="30">#REF!</definedName>
    <definedName name="TgDs" localSheetId="6">#REF!</definedName>
    <definedName name="TgDs" localSheetId="7">#REF!</definedName>
    <definedName name="TgDs" localSheetId="4">#REF!</definedName>
    <definedName name="TgDs" localSheetId="5">#REF!</definedName>
    <definedName name="TgDs" localSheetId="11">#REF!</definedName>
    <definedName name="TgDs" localSheetId="8">#REF!</definedName>
    <definedName name="TgSMP" localSheetId="1">#REF!</definedName>
    <definedName name="TgSMP" localSheetId="13">#REF!</definedName>
    <definedName name="TgSMP" localSheetId="9">#REF!</definedName>
    <definedName name="TgSMP" localSheetId="10">#REF!</definedName>
    <definedName name="TgSMP" localSheetId="17">#REF!</definedName>
    <definedName name="TgSMP" localSheetId="16">#REF!</definedName>
    <definedName name="TgSMP" localSheetId="30">#REF!</definedName>
    <definedName name="TgSMP" localSheetId="6">#REF!</definedName>
    <definedName name="TgSMP" localSheetId="7">#REF!</definedName>
    <definedName name="TgSMP" localSheetId="4">#REF!</definedName>
    <definedName name="TgSMP" localSheetId="5">#REF!</definedName>
    <definedName name="TgSMP" localSheetId="11">#REF!</definedName>
    <definedName name="TgSMP" localSheetId="8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9">#REF!</definedName>
    <definedName name="апп" localSheetId="10">#REF!</definedName>
    <definedName name="апп" localSheetId="0">#REF!</definedName>
    <definedName name="апп" localSheetId="17">#REF!</definedName>
    <definedName name="апп" localSheetId="16">#REF!</definedName>
    <definedName name="апп" localSheetId="30">#REF!</definedName>
    <definedName name="апп" localSheetId="6">#REF!</definedName>
    <definedName name="апп" localSheetId="7">#REF!</definedName>
    <definedName name="апп" localSheetId="4">#REF!</definedName>
    <definedName name="апп" localSheetId="5">#REF!</definedName>
    <definedName name="апп" localSheetId="11">#REF!</definedName>
    <definedName name="апп" localSheetId="12">#REF!</definedName>
    <definedName name="апп" localSheetId="8">#REF!</definedName>
    <definedName name="апп" localSheetId="26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9">#REF!</definedName>
    <definedName name="_xlnm.Database" localSheetId="10">#REF!</definedName>
    <definedName name="_xlnm.Database" localSheetId="0">#REF!</definedName>
    <definedName name="_xlnm.Database" localSheetId="24">#REF!</definedName>
    <definedName name="_xlnm.Database" localSheetId="17">#REF!</definedName>
    <definedName name="_xlnm.Database" localSheetId="16">#REF!</definedName>
    <definedName name="_xlnm.Database" localSheetId="30">#REF!</definedName>
    <definedName name="_xlnm.Database" localSheetId="6">#REF!</definedName>
    <definedName name="_xlnm.Database" localSheetId="7">#REF!</definedName>
    <definedName name="_xlnm.Database" localSheetId="4">#REF!</definedName>
    <definedName name="_xlnm.Database" localSheetId="5">#REF!</definedName>
    <definedName name="_xlnm.Database" localSheetId="28">#REF!</definedName>
    <definedName name="_xlnm.Database" localSheetId="11">#REF!</definedName>
    <definedName name="_xlnm.Database" localSheetId="25">#REF!</definedName>
    <definedName name="_xlnm.Database" localSheetId="12">#REF!</definedName>
    <definedName name="_xlnm.Database" localSheetId="8">#REF!</definedName>
    <definedName name="_xlnm.Database" localSheetId="26">#REF!</definedName>
    <definedName name="_xlnm.Database">#REF!</definedName>
    <definedName name="Д" localSheetId="13">[3]Данные!$B$1:$EF$178</definedName>
    <definedName name="Д" localSheetId="10">[4]Данные!$B$1:$EF$178</definedName>
    <definedName name="Д" localSheetId="0">[4]Данные!$B$1:$EF$178</definedName>
    <definedName name="Д" localSheetId="24">[5]Данные!$B$1:$EF$178</definedName>
    <definedName name="Д" localSheetId="17">[3]Данные!$B$1:$EF$178</definedName>
    <definedName name="Д" localSheetId="16">[3]Данные!$B$1:$EF$178</definedName>
    <definedName name="Д" localSheetId="6">[6]Данные!$B$1:$EF$178</definedName>
    <definedName name="Д" localSheetId="7">[3]Данные!$B$1:$EF$178</definedName>
    <definedName name="Д" localSheetId="4">[6]Данные!$B$1:$EF$178</definedName>
    <definedName name="Д" localSheetId="5">[4]Данные!$B$1:$EF$178</definedName>
    <definedName name="Д" localSheetId="28">[4]Данные!$B$1:$EF$178</definedName>
    <definedName name="Д" localSheetId="11">[3]Данные!$B$1:$EF$178</definedName>
    <definedName name="Д" localSheetId="25">[5]Данные!$B$1:$EF$178</definedName>
    <definedName name="Д" localSheetId="12">[6]Данные!$B$1:$EF$178</definedName>
    <definedName name="Д" localSheetId="8">[3]Данные!$B$1:$EF$178</definedName>
    <definedName name="Д" localSheetId="26">[4]Данные!$B$1:$EF$178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9">#REF!</definedName>
    <definedName name="Жен.конс." localSheetId="10">#REF!</definedName>
    <definedName name="Жен.конс." localSheetId="17">#REF!</definedName>
    <definedName name="Жен.конс." localSheetId="16">#REF!</definedName>
    <definedName name="Жен.конс." localSheetId="30">#REF!</definedName>
    <definedName name="Жен.конс." localSheetId="6">#REF!</definedName>
    <definedName name="Жен.конс." localSheetId="7">#REF!</definedName>
    <definedName name="Жен.конс." localSheetId="4">#REF!</definedName>
    <definedName name="Жен.конс." localSheetId="5">#REF!</definedName>
    <definedName name="Жен.конс." localSheetId="11">#REF!</definedName>
    <definedName name="Жен.конс." localSheetId="8">#REF!</definedName>
    <definedName name="_xlnm.Print_Titles" localSheetId="1">'ВМП КС Пр.9-23'!$B:$C</definedName>
    <definedName name="_xlnm.Print_Titles" localSheetId="10">'Диспан.набл.взрослых Пр.9-23'!$6:$10</definedName>
    <definedName name="_xlnm.Print_Titles" localSheetId="2">'ДС (пр.09-23)'!#REF!</definedName>
    <definedName name="_xlnm.Print_Titles" localSheetId="0">'КС Пр. 9-23'!$2:$4</definedName>
    <definedName name="_xlnm.Print_Titles" localSheetId="6">'Пос с др.целями Пр.9-23'!$2:$6</definedName>
    <definedName name="_xlnm.Print_Titles" localSheetId="4">'Проф.Свод Пр.9-23 '!$2:$7</definedName>
    <definedName name="_xlnm.Print_Titles" localSheetId="5">'Раз.пос.Пр.9-23'!$2:$7</definedName>
    <definedName name="_xlnm.Print_Titles" localSheetId="14">'СМП (20-22)'!$4:$7</definedName>
    <definedName name="_xlnm.Print_Titles" localSheetId="8">'Школа сахарного диабета Пр.9-23'!$3:$6</definedName>
    <definedName name="ЗД" localSheetId="13">[3]Данные!$BY$3:$DB$3</definedName>
    <definedName name="ЗД" localSheetId="10">[4]Данные!$BY$3:$DB$3</definedName>
    <definedName name="ЗД" localSheetId="24">[5]Данные!$BY$3:$DB$3</definedName>
    <definedName name="ЗД" localSheetId="17">[3]Данные!$BY$3:$DB$3</definedName>
    <definedName name="ЗД" localSheetId="16">[3]Данные!$BY$3:$DB$3</definedName>
    <definedName name="ЗД" localSheetId="6">[6]Данные!$BY$3:$DB$3</definedName>
    <definedName name="ЗД" localSheetId="7">[3]Данные!$BY$3:$DB$3</definedName>
    <definedName name="ЗД" localSheetId="4">[6]Данные!$BY$3:$DB$3</definedName>
    <definedName name="ЗД" localSheetId="5">[4]Данные!$BY$3:$DB$3</definedName>
    <definedName name="ЗД" localSheetId="28">[4]Данные!$BY$3:$DB$3</definedName>
    <definedName name="ЗД" localSheetId="11">[3]Данные!$BY$3:$DB$3</definedName>
    <definedName name="ЗД" localSheetId="25">[5]Данные!$BY$3:$DB$3</definedName>
    <definedName name="ЗД" localSheetId="12">[6]Данные!$BY$3:$DB$3</definedName>
    <definedName name="ЗД" localSheetId="8">[3]Данные!$BY$3:$DB$3</definedName>
    <definedName name="ЗД" localSheetId="26">[4]Данные!$BY$3:$DB$3</definedName>
    <definedName name="иные" localSheetId="13">#REF!</definedName>
    <definedName name="иные" localSheetId="9">#REF!</definedName>
    <definedName name="иные" localSheetId="10">#REF!</definedName>
    <definedName name="иные" localSheetId="17">#REF!</definedName>
    <definedName name="иные" localSheetId="16">#REF!</definedName>
    <definedName name="иные" localSheetId="30">#REF!</definedName>
    <definedName name="иные" localSheetId="6">#REF!</definedName>
    <definedName name="иные" localSheetId="7">#REF!</definedName>
    <definedName name="иные" localSheetId="4">#REF!</definedName>
    <definedName name="иные" localSheetId="5">#REF!</definedName>
    <definedName name="иные" localSheetId="11">#REF!</definedName>
    <definedName name="иные" localSheetId="12">#REF!</definedName>
    <definedName name="иные" localSheetId="8">#REF!</definedName>
    <definedName name="материальные_запасы_основные_средства" localSheetId="13">#REF!</definedName>
    <definedName name="материальные_запасы_основные_средства" localSheetId="9">#REF!</definedName>
    <definedName name="материальные_запасы_основные_средства" localSheetId="10">#REF!</definedName>
    <definedName name="материальные_запасы_основные_средства" localSheetId="17">#REF!</definedName>
    <definedName name="материальные_запасы_основные_средства" localSheetId="16">#REF!</definedName>
    <definedName name="материальные_запасы_основные_средства" localSheetId="30">#REF!</definedName>
    <definedName name="материальные_запасы_основные_средства" localSheetId="6">#REF!</definedName>
    <definedName name="материальные_запасы_основные_средства" localSheetId="7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8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9">#REF!</definedName>
    <definedName name="мирир" localSheetId="10">#REF!</definedName>
    <definedName name="мирир" localSheetId="0">#REF!</definedName>
    <definedName name="мирир" localSheetId="17">#REF!</definedName>
    <definedName name="мирир" localSheetId="16">#REF!</definedName>
    <definedName name="мирир" localSheetId="30">#REF!</definedName>
    <definedName name="мирир" localSheetId="6">#REF!</definedName>
    <definedName name="мирир" localSheetId="7">#REF!</definedName>
    <definedName name="мирир" localSheetId="4">#REF!</definedName>
    <definedName name="мирир" localSheetId="5">#REF!</definedName>
    <definedName name="мирир" localSheetId="11">#REF!</definedName>
    <definedName name="мирир" localSheetId="12">#REF!</definedName>
    <definedName name="мирир" localSheetId="8">#REF!</definedName>
    <definedName name="мирир" localSheetId="26">#REF!</definedName>
    <definedName name="Нефтекамск" localSheetId="13">'[7]СВОД КП ПРОЕКТА книж'!$A$4:$DS$109</definedName>
    <definedName name="Нефтекамск" localSheetId="10">'[8]СВОД КП ПРОЕКТА книж'!$A$4:$DS$109</definedName>
    <definedName name="Нефтекамск" localSheetId="17">'[7]СВОД КП ПРОЕКТА книж'!$A$4:$DS$109</definedName>
    <definedName name="Нефтекамск" localSheetId="16">'[7]СВОД КП ПРОЕКТА книж'!$A$4:$DS$109</definedName>
    <definedName name="Нефтекамск" localSheetId="6">'[8]СВОД КП ПРОЕКТА книж'!$A$4:$DS$109</definedName>
    <definedName name="Нефтекамск" localSheetId="7">'[7]СВОД КП ПРОЕКТА книж'!$A$4:$DS$109</definedName>
    <definedName name="Нефтекамск" localSheetId="4">'[8]СВОД КП ПРОЕКТА книж'!$A$4:$DS$109</definedName>
    <definedName name="Нефтекамск" localSheetId="5">'[8]СВОД КП ПРОЕКТА книж'!$A$4:$DS$109</definedName>
    <definedName name="Нефтекамск" localSheetId="11">'[7]СВОД КП ПРОЕКТА книж'!$A$4:$DS$109</definedName>
    <definedName name="Нефтекамск" localSheetId="8">'[7]СВОД КП ПРОЕКТА книж'!$A$4:$DS$109</definedName>
    <definedName name="_xlnm.Print_Area" localSheetId="6">'Пос с др.целями Пр.9-23'!#REF!</definedName>
    <definedName name="_xlnm.Print_Area" localSheetId="12">'Центры здоровья Пр.20-22'!$A$1:$L$28</definedName>
    <definedName name="_xlnm.Print_Area" localSheetId="26">'ЭИ, ПАИ, МГИ Пр. 9-23'!$A$1:$Y$96</definedName>
    <definedName name="оплата_труда" localSheetId="13">#REF!</definedName>
    <definedName name="оплата_труда" localSheetId="9">#REF!</definedName>
    <definedName name="оплата_труда" localSheetId="10">#REF!</definedName>
    <definedName name="оплата_труда" localSheetId="17">#REF!</definedName>
    <definedName name="оплата_труда" localSheetId="16">#REF!</definedName>
    <definedName name="оплата_труда" localSheetId="30">#REF!</definedName>
    <definedName name="оплата_труда" localSheetId="6">#REF!</definedName>
    <definedName name="оплата_труда" localSheetId="7">#REF!</definedName>
    <definedName name="оплата_труда" localSheetId="4">#REF!</definedName>
    <definedName name="оплата_труда" localSheetId="5">#REF!</definedName>
    <definedName name="оплата_труда" localSheetId="11">#REF!</definedName>
    <definedName name="оплата_труда" localSheetId="12">#REF!</definedName>
    <definedName name="оплата_труда" localSheetId="8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9">#REF!</definedName>
    <definedName name="ппорь" localSheetId="10">#REF!</definedName>
    <definedName name="ппорь" localSheetId="0">#REF!</definedName>
    <definedName name="ппорь" localSheetId="24">#REF!</definedName>
    <definedName name="ппорь" localSheetId="17">#REF!</definedName>
    <definedName name="ппорь" localSheetId="16">#REF!</definedName>
    <definedName name="ппорь" localSheetId="30">#REF!</definedName>
    <definedName name="ппорь" localSheetId="6">#REF!</definedName>
    <definedName name="ппорь" localSheetId="7">#REF!</definedName>
    <definedName name="ппорь" localSheetId="4">#REF!</definedName>
    <definedName name="ппорь" localSheetId="5">#REF!</definedName>
    <definedName name="ппорь" localSheetId="28">#REF!</definedName>
    <definedName name="ппорь" localSheetId="11">#REF!</definedName>
    <definedName name="ппорь" localSheetId="25">#REF!</definedName>
    <definedName name="ппорь" localSheetId="12">#REF!</definedName>
    <definedName name="ппорь" localSheetId="8">#REF!</definedName>
    <definedName name="ппорь" localSheetId="26">#REF!</definedName>
    <definedName name="Пр.2" localSheetId="9">#REF!</definedName>
    <definedName name="Пр.2" localSheetId="10">#REF!</definedName>
    <definedName name="Пр.2" localSheetId="17">#REF!</definedName>
    <definedName name="Пр.2" localSheetId="16">#REF!</definedName>
    <definedName name="Пр.2" localSheetId="6">#REF!</definedName>
    <definedName name="Пр.2" localSheetId="7">#REF!</definedName>
    <definedName name="Пр.2" localSheetId="4">#REF!</definedName>
    <definedName name="Пр.2" localSheetId="5">#REF!</definedName>
    <definedName name="пра" localSheetId="9">#REF!</definedName>
    <definedName name="пра" localSheetId="10">#REF!</definedName>
    <definedName name="пра" localSheetId="17">#REF!</definedName>
    <definedName name="пра" localSheetId="16">#REF!</definedName>
    <definedName name="пра" localSheetId="6">#REF!</definedName>
    <definedName name="пра" localSheetId="7">#REF!</definedName>
    <definedName name="пра" localSheetId="4">#REF!</definedName>
    <definedName name="пра" localSheetId="5">#REF!</definedName>
    <definedName name="пэт" localSheetId="3">#REF!</definedName>
    <definedName name="пэт" localSheetId="1">#REF!</definedName>
    <definedName name="пэт" localSheetId="13">#REF!</definedName>
    <definedName name="пэт" localSheetId="9">#REF!</definedName>
    <definedName name="пэт" localSheetId="10">#REF!</definedName>
    <definedName name="пэт" localSheetId="17">#REF!</definedName>
    <definedName name="пэт" localSheetId="16">#REF!</definedName>
    <definedName name="пэт" localSheetId="30">#REF!</definedName>
    <definedName name="пэт" localSheetId="6">#REF!</definedName>
    <definedName name="пэт" localSheetId="7">#REF!</definedName>
    <definedName name="пэт" localSheetId="4">#REF!</definedName>
    <definedName name="пэт" localSheetId="5">#REF!</definedName>
    <definedName name="пэт" localSheetId="11">#REF!</definedName>
    <definedName name="пэт" localSheetId="8">#REF!</definedName>
    <definedName name="рд" localSheetId="9">#REF!</definedName>
    <definedName name="рд" localSheetId="10">#REF!</definedName>
    <definedName name="рд" localSheetId="17">#REF!</definedName>
    <definedName name="рд" localSheetId="16">#REF!</definedName>
    <definedName name="рд" localSheetId="6">#REF!</definedName>
    <definedName name="рд" localSheetId="7">#REF!</definedName>
    <definedName name="рд" localSheetId="4">#REF!</definedName>
    <definedName name="рд" localSheetId="5">#REF!</definedName>
    <definedName name="РОБЬ" localSheetId="9">#REF!</definedName>
    <definedName name="РОБЬ" localSheetId="10">#REF!</definedName>
    <definedName name="РОБЬ" localSheetId="17">#REF!</definedName>
    <definedName name="РОБЬ" localSheetId="16">#REF!</definedName>
    <definedName name="РОБЬ" localSheetId="6">#REF!</definedName>
    <definedName name="РОБЬ" localSheetId="7">#REF!</definedName>
    <definedName name="РОБЬ" localSheetId="4">#REF!</definedName>
    <definedName name="РОБЬ" localSheetId="5">#REF!</definedName>
    <definedName name="смп" localSheetId="3">#REF!</definedName>
    <definedName name="смп" localSheetId="1">#REF!</definedName>
    <definedName name="смп" localSheetId="13">#REF!</definedName>
    <definedName name="смп" localSheetId="9">#REF!</definedName>
    <definedName name="смп" localSheetId="10">#REF!</definedName>
    <definedName name="смп" localSheetId="0">#REF!</definedName>
    <definedName name="смп" localSheetId="17">#REF!</definedName>
    <definedName name="смп" localSheetId="16">#REF!</definedName>
    <definedName name="смп" localSheetId="30">#REF!</definedName>
    <definedName name="смп" localSheetId="6">#REF!</definedName>
    <definedName name="смп" localSheetId="7">#REF!</definedName>
    <definedName name="смп" localSheetId="4">#REF!</definedName>
    <definedName name="смп" localSheetId="5">#REF!</definedName>
    <definedName name="смп" localSheetId="11">#REF!</definedName>
    <definedName name="смп" localSheetId="8">#REF!</definedName>
    <definedName name="Список" localSheetId="13">#REF!</definedName>
    <definedName name="Список" localSheetId="9">#REF!</definedName>
    <definedName name="Список" localSheetId="10">#REF!</definedName>
    <definedName name="Список" localSheetId="17">#REF!</definedName>
    <definedName name="Список" localSheetId="16">#REF!</definedName>
    <definedName name="Список" localSheetId="6">#REF!</definedName>
    <definedName name="Список" localSheetId="7">#REF!</definedName>
    <definedName name="Список" localSheetId="4">#REF!</definedName>
    <definedName name="Список" localSheetId="5">#REF!</definedName>
    <definedName name="Список" localSheetId="11">#REF!</definedName>
    <definedName name="Список" localSheetId="8">#REF!</definedName>
    <definedName name="стер" localSheetId="1">#REF!</definedName>
    <definedName name="стер" localSheetId="13">#REF!</definedName>
    <definedName name="стер" localSheetId="9">#REF!</definedName>
    <definedName name="стер" localSheetId="10">#REF!</definedName>
    <definedName name="стер" localSheetId="0">#REF!</definedName>
    <definedName name="стер" localSheetId="17">#REF!</definedName>
    <definedName name="стер" localSheetId="16">#REF!</definedName>
    <definedName name="стер" localSheetId="30">#REF!</definedName>
    <definedName name="стер" localSheetId="6">#REF!</definedName>
    <definedName name="стер" localSheetId="7">#REF!</definedName>
    <definedName name="стер" localSheetId="4">#REF!</definedName>
    <definedName name="стер" localSheetId="5">#REF!</definedName>
    <definedName name="стер" localSheetId="11">#REF!</definedName>
    <definedName name="стер" localSheetId="8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9">#REF!</definedName>
    <definedName name="ттттт" localSheetId="10">#REF!</definedName>
    <definedName name="ттттт" localSheetId="17">#REF!</definedName>
    <definedName name="ттттт" localSheetId="16">#REF!</definedName>
    <definedName name="ттттт" localSheetId="30">#REF!</definedName>
    <definedName name="ттттт" localSheetId="6">#REF!</definedName>
    <definedName name="ттттт" localSheetId="7">#REF!</definedName>
    <definedName name="ттттт" localSheetId="4">#REF!</definedName>
    <definedName name="ттттт" localSheetId="5">#REF!</definedName>
    <definedName name="ттттт" localSheetId="11">#REF!</definedName>
    <definedName name="ттттт" localSheetId="8">#REF!</definedName>
    <definedName name="ттттт" localSheetId="26">#REF!</definedName>
    <definedName name="ФЗ" localSheetId="13">[3]Данные!$DC$3:$EF$3</definedName>
    <definedName name="ФЗ" localSheetId="10">[4]Данные!$DC$3:$EF$3</definedName>
    <definedName name="ФЗ" localSheetId="24">[5]Данные!$DC$3:$EF$3</definedName>
    <definedName name="ФЗ" localSheetId="17">[3]Данные!$DC$3:$EF$3</definedName>
    <definedName name="ФЗ" localSheetId="16">[3]Данные!$DC$3:$EF$3</definedName>
    <definedName name="ФЗ" localSheetId="6">[6]Данные!$DC$3:$EF$3</definedName>
    <definedName name="ФЗ" localSheetId="7">[3]Данные!$DC$3:$EF$3</definedName>
    <definedName name="ФЗ" localSheetId="4">[6]Данные!$DC$3:$EF$3</definedName>
    <definedName name="ФЗ" localSheetId="5">[4]Данные!$DC$3:$EF$3</definedName>
    <definedName name="ФЗ" localSheetId="28">[4]Данные!$DC$3:$EF$3</definedName>
    <definedName name="ФЗ" localSheetId="11">[3]Данные!$DC$3:$EF$3</definedName>
    <definedName name="ФЗ" localSheetId="25">[5]Данные!$DC$3:$EF$3</definedName>
    <definedName name="ФЗ" localSheetId="12">[6]Данные!$DC$3:$EF$3</definedName>
    <definedName name="ФЗ" localSheetId="8">[3]Данные!$DC$3:$EF$3</definedName>
    <definedName name="ФЗ" localSheetId="26">[4]Данные!$DC$3:$EF$3</definedName>
    <definedName name="Шт" localSheetId="13">[3]Данные!$AU$3:$BX$3</definedName>
    <definedName name="Шт" localSheetId="10">[4]Данные!$AU$3:$BX$3</definedName>
    <definedName name="Шт" localSheetId="24">[5]Данные!$AU$3:$BX$3</definedName>
    <definedName name="Шт" localSheetId="17">[3]Данные!$AU$3:$BX$3</definedName>
    <definedName name="Шт" localSheetId="16">[3]Данные!$AU$3:$BX$3</definedName>
    <definedName name="Шт" localSheetId="6">[6]Данные!$AU$3:$BX$3</definedName>
    <definedName name="Шт" localSheetId="7">[3]Данные!$AU$3:$BX$3</definedName>
    <definedName name="Шт" localSheetId="4">[6]Данные!$AU$3:$BX$3</definedName>
    <definedName name="Шт" localSheetId="5">[4]Данные!$AU$3:$BX$3</definedName>
    <definedName name="Шт" localSheetId="28">[4]Данные!$AU$3:$BX$3</definedName>
    <definedName name="Шт" localSheetId="11">[3]Данные!$AU$3:$BX$3</definedName>
    <definedName name="Шт" localSheetId="25">[5]Данные!$AU$3:$BX$3</definedName>
    <definedName name="Шт" localSheetId="12">[6]Данные!$AU$3:$BX$3</definedName>
    <definedName name="Шт" localSheetId="8">[3]Данные!$AU$3:$BX$3</definedName>
    <definedName name="Шт" localSheetId="26">[4]Данные!$AU$3:$BX$3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9">#REF!</definedName>
    <definedName name="ЭКО" localSheetId="10">#REF!</definedName>
    <definedName name="ЭКО" localSheetId="0">#REF!</definedName>
    <definedName name="ЭКО" localSheetId="24">#REF!</definedName>
    <definedName name="ЭКО" localSheetId="17">#REF!</definedName>
    <definedName name="ЭКО" localSheetId="16">#REF!</definedName>
    <definedName name="ЭКО" localSheetId="30">#REF!</definedName>
    <definedName name="ЭКО" localSheetId="6">#REF!</definedName>
    <definedName name="ЭКО" localSheetId="7">#REF!</definedName>
    <definedName name="ЭКО" localSheetId="4">#REF!</definedName>
    <definedName name="ЭКО" localSheetId="5">#REF!</definedName>
    <definedName name="ЭКО" localSheetId="28">#REF!</definedName>
    <definedName name="ЭКО" localSheetId="11">#REF!</definedName>
    <definedName name="ЭКО" localSheetId="25">#REF!</definedName>
    <definedName name="ЭКО" localSheetId="12">#REF!</definedName>
    <definedName name="ЭКО" localSheetId="8">#REF!</definedName>
    <definedName name="ЭКО" localSheetId="26">#REF!</definedName>
  </definedNames>
  <calcPr calcId="191029"/>
</workbook>
</file>

<file path=xl/calcChain.xml><?xml version="1.0" encoding="utf-8"?>
<calcChain xmlns="http://schemas.openxmlformats.org/spreadsheetml/2006/main">
  <c r="N154" i="20" l="1"/>
  <c r="H154" i="20"/>
  <c r="G154" i="20"/>
  <c r="E154" i="20"/>
  <c r="N153" i="20"/>
  <c r="I153" i="20"/>
  <c r="H153" i="20"/>
  <c r="N152" i="20"/>
  <c r="I152" i="20"/>
  <c r="H152" i="20"/>
  <c r="N151" i="20"/>
  <c r="I151" i="20"/>
  <c r="H151" i="20"/>
  <c r="J151" i="20" s="1"/>
  <c r="N150" i="20"/>
  <c r="I150" i="20"/>
  <c r="H150" i="20"/>
  <c r="N149" i="20"/>
  <c r="I149" i="20"/>
  <c r="H149" i="20"/>
  <c r="N148" i="20"/>
  <c r="I148" i="20"/>
  <c r="H148" i="20"/>
  <c r="J148" i="20" s="1"/>
  <c r="N147" i="20"/>
  <c r="I147" i="20"/>
  <c r="H147" i="20"/>
  <c r="K146" i="20"/>
  <c r="N146" i="20" s="1"/>
  <c r="I146" i="20"/>
  <c r="F146" i="20"/>
  <c r="D146" i="20"/>
  <c r="H146" i="20" s="1"/>
  <c r="J146" i="20" s="1"/>
  <c r="N145" i="20"/>
  <c r="I145" i="20"/>
  <c r="F145" i="20"/>
  <c r="H145" i="20" s="1"/>
  <c r="D145" i="20"/>
  <c r="N144" i="20"/>
  <c r="I144" i="20"/>
  <c r="J144" i="20" s="1"/>
  <c r="H144" i="20"/>
  <c r="N143" i="20"/>
  <c r="I143" i="20"/>
  <c r="J143" i="20" s="1"/>
  <c r="H143" i="20"/>
  <c r="N142" i="20"/>
  <c r="I142" i="20"/>
  <c r="J142" i="20" s="1"/>
  <c r="H142" i="20"/>
  <c r="N141" i="20"/>
  <c r="I141" i="20"/>
  <c r="H141" i="20"/>
  <c r="N140" i="20"/>
  <c r="I140" i="20"/>
  <c r="J140" i="20" s="1"/>
  <c r="H140" i="20"/>
  <c r="N139" i="20"/>
  <c r="I139" i="20"/>
  <c r="J139" i="20" s="1"/>
  <c r="H139" i="20"/>
  <c r="N138" i="20"/>
  <c r="I138" i="20"/>
  <c r="H138" i="20"/>
  <c r="N137" i="20"/>
  <c r="L137" i="20"/>
  <c r="G137" i="20"/>
  <c r="F137" i="20"/>
  <c r="E137" i="20"/>
  <c r="D137" i="20"/>
  <c r="N136" i="20"/>
  <c r="J136" i="20"/>
  <c r="I136" i="20"/>
  <c r="H136" i="20"/>
  <c r="N135" i="20"/>
  <c r="J135" i="20"/>
  <c r="I135" i="20"/>
  <c r="H135" i="20"/>
  <c r="N134" i="20"/>
  <c r="J134" i="20"/>
  <c r="I134" i="20"/>
  <c r="H134" i="20"/>
  <c r="N133" i="20"/>
  <c r="J133" i="20"/>
  <c r="I133" i="20"/>
  <c r="H133" i="20"/>
  <c r="N132" i="20"/>
  <c r="J132" i="20"/>
  <c r="I132" i="20"/>
  <c r="H132" i="20"/>
  <c r="N131" i="20"/>
  <c r="J131" i="20"/>
  <c r="I131" i="20"/>
  <c r="H131" i="20"/>
  <c r="N130" i="20"/>
  <c r="J130" i="20"/>
  <c r="I130" i="20"/>
  <c r="H130" i="20"/>
  <c r="N129" i="20"/>
  <c r="J129" i="20"/>
  <c r="I129" i="20"/>
  <c r="H129" i="20"/>
  <c r="N128" i="20"/>
  <c r="J128" i="20"/>
  <c r="I128" i="20"/>
  <c r="H128" i="20"/>
  <c r="N127" i="20"/>
  <c r="J127" i="20"/>
  <c r="I127" i="20"/>
  <c r="H127" i="20"/>
  <c r="N126" i="20"/>
  <c r="J126" i="20"/>
  <c r="I126" i="20"/>
  <c r="H126" i="20"/>
  <c r="N125" i="20"/>
  <c r="J125" i="20"/>
  <c r="I125" i="20"/>
  <c r="H125" i="20"/>
  <c r="N124" i="20"/>
  <c r="J124" i="20"/>
  <c r="I124" i="20"/>
  <c r="H124" i="20"/>
  <c r="N123" i="20"/>
  <c r="J123" i="20"/>
  <c r="I123" i="20"/>
  <c r="H123" i="20"/>
  <c r="N122" i="20"/>
  <c r="J122" i="20"/>
  <c r="I122" i="20"/>
  <c r="H122" i="20"/>
  <c r="N121" i="20"/>
  <c r="J121" i="20"/>
  <c r="I121" i="20"/>
  <c r="H121" i="20"/>
  <c r="N120" i="20"/>
  <c r="J120" i="20"/>
  <c r="I120" i="20"/>
  <c r="H120" i="20"/>
  <c r="N119" i="20"/>
  <c r="J119" i="20"/>
  <c r="I119" i="20"/>
  <c r="H119" i="20"/>
  <c r="N118" i="20"/>
  <c r="J118" i="20"/>
  <c r="I118" i="20"/>
  <c r="H118" i="20"/>
  <c r="N117" i="20"/>
  <c r="J117" i="20"/>
  <c r="I117" i="20"/>
  <c r="H117" i="20"/>
  <c r="N116" i="20"/>
  <c r="J116" i="20"/>
  <c r="I116" i="20"/>
  <c r="H116" i="20"/>
  <c r="N115" i="20"/>
  <c r="J115" i="20"/>
  <c r="I115" i="20"/>
  <c r="H115" i="20"/>
  <c r="N114" i="20"/>
  <c r="J114" i="20"/>
  <c r="I114" i="20"/>
  <c r="H114" i="20"/>
  <c r="N113" i="20"/>
  <c r="J113" i="20"/>
  <c r="I113" i="20"/>
  <c r="H113" i="20"/>
  <c r="N112" i="20"/>
  <c r="J112" i="20"/>
  <c r="I112" i="20"/>
  <c r="H112" i="20"/>
  <c r="N111" i="20"/>
  <c r="J111" i="20"/>
  <c r="I111" i="20"/>
  <c r="H111" i="20"/>
  <c r="N110" i="20"/>
  <c r="J110" i="20"/>
  <c r="I110" i="20"/>
  <c r="H110" i="20"/>
  <c r="N109" i="20"/>
  <c r="J109" i="20"/>
  <c r="I109" i="20"/>
  <c r="H109" i="20"/>
  <c r="N108" i="20"/>
  <c r="J108" i="20"/>
  <c r="I108" i="20"/>
  <c r="H108" i="20"/>
  <c r="N107" i="20"/>
  <c r="J107" i="20"/>
  <c r="I107" i="20"/>
  <c r="H107" i="20"/>
  <c r="N106" i="20"/>
  <c r="J106" i="20"/>
  <c r="I106" i="20"/>
  <c r="H106" i="20"/>
  <c r="N105" i="20"/>
  <c r="J105" i="20"/>
  <c r="I105" i="20"/>
  <c r="H105" i="20"/>
  <c r="N104" i="20"/>
  <c r="J104" i="20"/>
  <c r="I104" i="20"/>
  <c r="H104" i="20"/>
  <c r="N103" i="20"/>
  <c r="J103" i="20"/>
  <c r="I103" i="20"/>
  <c r="H103" i="20"/>
  <c r="N102" i="20"/>
  <c r="J102" i="20"/>
  <c r="I102" i="20"/>
  <c r="H102" i="20"/>
  <c r="N101" i="20"/>
  <c r="J101" i="20"/>
  <c r="I101" i="20"/>
  <c r="H101" i="20"/>
  <c r="N100" i="20"/>
  <c r="J100" i="20"/>
  <c r="I100" i="20"/>
  <c r="H100" i="20"/>
  <c r="N99" i="20"/>
  <c r="J99" i="20"/>
  <c r="I99" i="20"/>
  <c r="H99" i="20"/>
  <c r="N98" i="20"/>
  <c r="J98" i="20"/>
  <c r="I98" i="20"/>
  <c r="H98" i="20"/>
  <c r="N97" i="20"/>
  <c r="J97" i="20"/>
  <c r="I97" i="20"/>
  <c r="H97" i="20"/>
  <c r="N96" i="20"/>
  <c r="J96" i="20"/>
  <c r="I96" i="20"/>
  <c r="H96" i="20"/>
  <c r="N95" i="20"/>
  <c r="J95" i="20"/>
  <c r="I95" i="20"/>
  <c r="H95" i="20"/>
  <c r="N94" i="20"/>
  <c r="J94" i="20"/>
  <c r="I94" i="20"/>
  <c r="H94" i="20"/>
  <c r="N93" i="20"/>
  <c r="J93" i="20"/>
  <c r="I93" i="20"/>
  <c r="H93" i="20"/>
  <c r="N92" i="20"/>
  <c r="J92" i="20"/>
  <c r="I92" i="20"/>
  <c r="H92" i="20"/>
  <c r="N91" i="20"/>
  <c r="J91" i="20"/>
  <c r="I91" i="20"/>
  <c r="H91" i="20"/>
  <c r="K90" i="20"/>
  <c r="K10" i="20" s="1"/>
  <c r="K7" i="20" s="1"/>
  <c r="I90" i="20"/>
  <c r="F90" i="20"/>
  <c r="H90" i="20" s="1"/>
  <c r="D90" i="20"/>
  <c r="N89" i="20"/>
  <c r="I89" i="20"/>
  <c r="J89" i="20" s="1"/>
  <c r="H89" i="20"/>
  <c r="E89" i="20"/>
  <c r="N88" i="20"/>
  <c r="I88" i="20"/>
  <c r="F88" i="20"/>
  <c r="D88" i="20"/>
  <c r="N87" i="20"/>
  <c r="F87" i="20"/>
  <c r="E87" i="20"/>
  <c r="I87" i="20" s="1"/>
  <c r="D87" i="20"/>
  <c r="H87" i="20" s="1"/>
  <c r="N86" i="20"/>
  <c r="I86" i="20"/>
  <c r="F86" i="20"/>
  <c r="H86" i="20" s="1"/>
  <c r="D86" i="20"/>
  <c r="N85" i="20"/>
  <c r="F85" i="20"/>
  <c r="E85" i="20"/>
  <c r="I85" i="20" s="1"/>
  <c r="D85" i="20"/>
  <c r="H85" i="20" s="1"/>
  <c r="N84" i="20"/>
  <c r="I84" i="20"/>
  <c r="H84" i="20"/>
  <c r="F84" i="20"/>
  <c r="D84" i="20"/>
  <c r="N83" i="20"/>
  <c r="I83" i="20"/>
  <c r="H83" i="20"/>
  <c r="J83" i="20" s="1"/>
  <c r="N82" i="20"/>
  <c r="J82" i="20"/>
  <c r="I82" i="20"/>
  <c r="H82" i="20"/>
  <c r="N81" i="20"/>
  <c r="I81" i="20"/>
  <c r="H81" i="20"/>
  <c r="J81" i="20" s="1"/>
  <c r="N80" i="20"/>
  <c r="J80" i="20"/>
  <c r="I80" i="20"/>
  <c r="H80" i="20"/>
  <c r="N79" i="20"/>
  <c r="I79" i="20"/>
  <c r="H79" i="20"/>
  <c r="J79" i="20" s="1"/>
  <c r="N78" i="20"/>
  <c r="J78" i="20"/>
  <c r="I78" i="20"/>
  <c r="H78" i="20"/>
  <c r="N77" i="20"/>
  <c r="I77" i="20"/>
  <c r="H77" i="20"/>
  <c r="J77" i="20" s="1"/>
  <c r="N76" i="20"/>
  <c r="I76" i="20"/>
  <c r="F76" i="20"/>
  <c r="D76" i="20"/>
  <c r="N75" i="20"/>
  <c r="I75" i="20"/>
  <c r="H75" i="20"/>
  <c r="J75" i="20" s="1"/>
  <c r="F75" i="20"/>
  <c r="D75" i="20"/>
  <c r="N74" i="20"/>
  <c r="I74" i="20"/>
  <c r="F74" i="20"/>
  <c r="D74" i="20"/>
  <c r="H74" i="20" s="1"/>
  <c r="J74" i="20" s="1"/>
  <c r="N73" i="20"/>
  <c r="I73" i="20"/>
  <c r="H73" i="20"/>
  <c r="N72" i="20"/>
  <c r="I72" i="20"/>
  <c r="H72" i="20"/>
  <c r="N71" i="20"/>
  <c r="I71" i="20"/>
  <c r="H71" i="20"/>
  <c r="J71" i="20" s="1"/>
  <c r="N70" i="20"/>
  <c r="I70" i="20"/>
  <c r="H70" i="20"/>
  <c r="E70" i="20"/>
  <c r="N69" i="20"/>
  <c r="I69" i="20"/>
  <c r="H69" i="20"/>
  <c r="N68" i="20"/>
  <c r="I68" i="20"/>
  <c r="J68" i="20" s="1"/>
  <c r="H68" i="20"/>
  <c r="N67" i="20"/>
  <c r="I67" i="20"/>
  <c r="J67" i="20" s="1"/>
  <c r="H67" i="20"/>
  <c r="N66" i="20"/>
  <c r="I66" i="20"/>
  <c r="H66" i="20"/>
  <c r="N65" i="20"/>
  <c r="I65" i="20"/>
  <c r="J65" i="20" s="1"/>
  <c r="H65" i="20"/>
  <c r="N64" i="20"/>
  <c r="I64" i="20"/>
  <c r="J64" i="20" s="1"/>
  <c r="H64" i="20"/>
  <c r="N63" i="20"/>
  <c r="I63" i="20"/>
  <c r="H63" i="20"/>
  <c r="N62" i="20"/>
  <c r="L62" i="20"/>
  <c r="H62" i="20"/>
  <c r="G62" i="20"/>
  <c r="E62" i="20"/>
  <c r="N61" i="20"/>
  <c r="I61" i="20"/>
  <c r="H61" i="20"/>
  <c r="J61" i="20" s="1"/>
  <c r="N60" i="20"/>
  <c r="I60" i="20"/>
  <c r="H60" i="20"/>
  <c r="N59" i="20"/>
  <c r="I59" i="20"/>
  <c r="H59" i="20"/>
  <c r="J59" i="20" s="1"/>
  <c r="N58" i="20"/>
  <c r="I58" i="20"/>
  <c r="H58" i="20"/>
  <c r="N57" i="20"/>
  <c r="I57" i="20"/>
  <c r="H57" i="20"/>
  <c r="N56" i="20"/>
  <c r="I56" i="20"/>
  <c r="H56" i="20"/>
  <c r="J56" i="20" s="1"/>
  <c r="N55" i="20"/>
  <c r="I55" i="20"/>
  <c r="H55" i="20"/>
  <c r="N54" i="20"/>
  <c r="I54" i="20"/>
  <c r="H54" i="20"/>
  <c r="J54" i="20" s="1"/>
  <c r="N53" i="20"/>
  <c r="I53" i="20"/>
  <c r="H53" i="20"/>
  <c r="J53" i="20" s="1"/>
  <c r="N52" i="20"/>
  <c r="I52" i="20"/>
  <c r="H52" i="20"/>
  <c r="N51" i="20"/>
  <c r="I51" i="20"/>
  <c r="H51" i="20"/>
  <c r="N50" i="20"/>
  <c r="I50" i="20"/>
  <c r="H50" i="20"/>
  <c r="N49" i="20"/>
  <c r="I49" i="20"/>
  <c r="H49" i="20"/>
  <c r="N48" i="20"/>
  <c r="I48" i="20"/>
  <c r="H48" i="20"/>
  <c r="J48" i="20" s="1"/>
  <c r="N47" i="20"/>
  <c r="I47" i="20"/>
  <c r="H47" i="20"/>
  <c r="N46" i="20"/>
  <c r="I46" i="20"/>
  <c r="H46" i="20"/>
  <c r="J46" i="20" s="1"/>
  <c r="N45" i="20"/>
  <c r="I45" i="20"/>
  <c r="H45" i="20"/>
  <c r="J45" i="20" s="1"/>
  <c r="N44" i="20"/>
  <c r="I44" i="20"/>
  <c r="H44" i="20"/>
  <c r="N43" i="20"/>
  <c r="I43" i="20"/>
  <c r="H43" i="20"/>
  <c r="N42" i="20"/>
  <c r="I42" i="20"/>
  <c r="H42" i="20"/>
  <c r="N41" i="20"/>
  <c r="I41" i="20"/>
  <c r="H41" i="20"/>
  <c r="N40" i="20"/>
  <c r="I40" i="20"/>
  <c r="H40" i="20"/>
  <c r="J40" i="20" s="1"/>
  <c r="N39" i="20"/>
  <c r="I39" i="20"/>
  <c r="H39" i="20"/>
  <c r="N38" i="20"/>
  <c r="I38" i="20"/>
  <c r="H38" i="20"/>
  <c r="J38" i="20" s="1"/>
  <c r="M37" i="20"/>
  <c r="L37" i="20"/>
  <c r="N37" i="20" s="1"/>
  <c r="G37" i="20"/>
  <c r="F37" i="20"/>
  <c r="F10" i="20" s="1"/>
  <c r="F7" i="20" s="1"/>
  <c r="E37" i="20"/>
  <c r="D37" i="20"/>
  <c r="M36" i="20"/>
  <c r="L36" i="20"/>
  <c r="G36" i="20"/>
  <c r="F36" i="20"/>
  <c r="E36" i="20"/>
  <c r="I36" i="20" s="1"/>
  <c r="D36" i="20"/>
  <c r="H36" i="20" s="1"/>
  <c r="N35" i="20"/>
  <c r="I35" i="20"/>
  <c r="H35" i="20"/>
  <c r="N34" i="20"/>
  <c r="I34" i="20"/>
  <c r="H34" i="20"/>
  <c r="J34" i="20" s="1"/>
  <c r="N33" i="20"/>
  <c r="I33" i="20"/>
  <c r="H33" i="20"/>
  <c r="N32" i="20"/>
  <c r="I32" i="20"/>
  <c r="H32" i="20"/>
  <c r="J32" i="20" s="1"/>
  <c r="N31" i="20"/>
  <c r="I31" i="20"/>
  <c r="H31" i="20"/>
  <c r="J31" i="20" s="1"/>
  <c r="N30" i="20"/>
  <c r="I30" i="20"/>
  <c r="H30" i="20"/>
  <c r="N29" i="20"/>
  <c r="I29" i="20"/>
  <c r="H29" i="20"/>
  <c r="N28" i="20"/>
  <c r="H28" i="20"/>
  <c r="G28" i="20"/>
  <c r="E28" i="20"/>
  <c r="N27" i="20"/>
  <c r="I27" i="20"/>
  <c r="J27" i="20" s="1"/>
  <c r="H27" i="20"/>
  <c r="N26" i="20"/>
  <c r="J26" i="20"/>
  <c r="I26" i="20"/>
  <c r="H26" i="20"/>
  <c r="N25" i="20"/>
  <c r="I25" i="20"/>
  <c r="J25" i="20" s="1"/>
  <c r="H25" i="20"/>
  <c r="N24" i="20"/>
  <c r="J24" i="20"/>
  <c r="I24" i="20"/>
  <c r="H24" i="20"/>
  <c r="N23" i="20"/>
  <c r="I23" i="20"/>
  <c r="J23" i="20" s="1"/>
  <c r="H23" i="20"/>
  <c r="N22" i="20"/>
  <c r="J22" i="20"/>
  <c r="I22" i="20"/>
  <c r="H22" i="20"/>
  <c r="N21" i="20"/>
  <c r="I21" i="20"/>
  <c r="J21" i="20" s="1"/>
  <c r="H21" i="20"/>
  <c r="N20" i="20"/>
  <c r="J20" i="20"/>
  <c r="I20" i="20"/>
  <c r="H20" i="20"/>
  <c r="N19" i="20"/>
  <c r="I19" i="20"/>
  <c r="H19" i="20"/>
  <c r="J19" i="20" s="1"/>
  <c r="N18" i="20"/>
  <c r="J18" i="20"/>
  <c r="I18" i="20"/>
  <c r="H18" i="20"/>
  <c r="N17" i="20"/>
  <c r="I17" i="20"/>
  <c r="H17" i="20"/>
  <c r="J17" i="20" s="1"/>
  <c r="L16" i="20"/>
  <c r="N16" i="20" s="1"/>
  <c r="H16" i="20"/>
  <c r="G16" i="20"/>
  <c r="G10" i="20" s="1"/>
  <c r="G7" i="20" s="1"/>
  <c r="E16" i="20"/>
  <c r="N15" i="20"/>
  <c r="I15" i="20"/>
  <c r="H15" i="20"/>
  <c r="N14" i="20"/>
  <c r="I14" i="20"/>
  <c r="H14" i="20"/>
  <c r="N13" i="20"/>
  <c r="I13" i="20"/>
  <c r="J13" i="20" s="1"/>
  <c r="H13" i="20"/>
  <c r="N12" i="20"/>
  <c r="I12" i="20"/>
  <c r="J12" i="20" s="1"/>
  <c r="H12" i="20"/>
  <c r="N11" i="20"/>
  <c r="I11" i="20"/>
  <c r="H11" i="20"/>
  <c r="N9" i="20"/>
  <c r="H9" i="20"/>
  <c r="G9" i="20"/>
  <c r="I9" i="20" s="1"/>
  <c r="N8" i="20"/>
  <c r="I8" i="20"/>
  <c r="J8" i="20" s="1"/>
  <c r="H8" i="20"/>
  <c r="L10" i="20" l="1"/>
  <c r="L7" i="20" s="1"/>
  <c r="I28" i="20"/>
  <c r="J33" i="20"/>
  <c r="I37" i="20"/>
  <c r="J39" i="20"/>
  <c r="J47" i="20"/>
  <c r="J55" i="20"/>
  <c r="J70" i="20"/>
  <c r="J86" i="20"/>
  <c r="H88" i="20"/>
  <c r="J88" i="20" s="1"/>
  <c r="J145" i="20"/>
  <c r="J150" i="20"/>
  <c r="J42" i="20"/>
  <c r="J50" i="20"/>
  <c r="J58" i="20"/>
  <c r="J73" i="20"/>
  <c r="J90" i="20"/>
  <c r="J153" i="20"/>
  <c r="J11" i="20"/>
  <c r="J85" i="20"/>
  <c r="J138" i="20"/>
  <c r="J9" i="20"/>
  <c r="J29" i="20"/>
  <c r="J43" i="20"/>
  <c r="J51" i="20"/>
  <c r="J66" i="20"/>
  <c r="H137" i="20"/>
  <c r="J141" i="20"/>
  <c r="I154" i="20"/>
  <c r="J154" i="20" s="1"/>
  <c r="I62" i="20"/>
  <c r="J62" i="20" s="1"/>
  <c r="J69" i="20"/>
  <c r="H76" i="20"/>
  <c r="J76" i="20" s="1"/>
  <c r="I137" i="20"/>
  <c r="J149" i="20"/>
  <c r="J14" i="20"/>
  <c r="J63" i="20"/>
  <c r="J15" i="20"/>
  <c r="J35" i="20"/>
  <c r="N36" i="20"/>
  <c r="J41" i="20"/>
  <c r="J49" i="20"/>
  <c r="J57" i="20"/>
  <c r="J72" i="20"/>
  <c r="J152" i="20"/>
  <c r="D10" i="20"/>
  <c r="D7" i="20" s="1"/>
  <c r="J30" i="20"/>
  <c r="H37" i="20"/>
  <c r="J37" i="20" s="1"/>
  <c r="J44" i="20"/>
  <c r="J52" i="20"/>
  <c r="J60" i="20"/>
  <c r="J84" i="20"/>
  <c r="J147" i="20"/>
  <c r="J36" i="20"/>
  <c r="J28" i="20"/>
  <c r="J87" i="20"/>
  <c r="N10" i="20"/>
  <c r="N7" i="20" s="1"/>
  <c r="M10" i="20"/>
  <c r="M7" i="20" s="1"/>
  <c r="N90" i="20"/>
  <c r="E10" i="20"/>
  <c r="E7" i="20" s="1"/>
  <c r="I16" i="20"/>
  <c r="J16" i="20" s="1"/>
  <c r="D12" i="74"/>
  <c r="D9" i="74"/>
  <c r="J10" i="20" l="1"/>
  <c r="J7" i="20" s="1"/>
  <c r="J137" i="20"/>
  <c r="H10" i="20"/>
  <c r="H7" i="20" s="1"/>
  <c r="I10" i="20"/>
  <c r="I7" i="20" s="1"/>
  <c r="J8" i="73"/>
  <c r="I8" i="73"/>
  <c r="H8" i="73"/>
  <c r="G8" i="73"/>
  <c r="F8" i="73"/>
  <c r="E8" i="73"/>
  <c r="D8" i="73"/>
  <c r="D141" i="72" l="1"/>
  <c r="D135" i="72"/>
  <c r="D129" i="72"/>
  <c r="D105" i="72"/>
  <c r="D101" i="72"/>
  <c r="D95" i="72"/>
  <c r="D89" i="72"/>
  <c r="D83" i="72"/>
  <c r="D81" i="72"/>
  <c r="D78" i="72"/>
  <c r="D72" i="72"/>
  <c r="D66" i="72"/>
  <c r="D60" i="72"/>
  <c r="D24" i="72"/>
  <c r="D21" i="72"/>
  <c r="Q11" i="72"/>
  <c r="D12" i="72"/>
  <c r="D30" i="72" l="1"/>
  <c r="G11" i="72"/>
  <c r="D19" i="72"/>
  <c r="D84" i="72"/>
  <c r="D90" i="72"/>
  <c r="D96" i="72"/>
  <c r="D102" i="72"/>
  <c r="D107" i="72"/>
  <c r="D113" i="72"/>
  <c r="D119" i="72"/>
  <c r="D125" i="72"/>
  <c r="D31" i="72"/>
  <c r="D42" i="72"/>
  <c r="D43" i="72"/>
  <c r="D46" i="72"/>
  <c r="D55" i="72"/>
  <c r="D67" i="72"/>
  <c r="D108" i="72"/>
  <c r="D114" i="72"/>
  <c r="D120" i="72"/>
  <c r="D126" i="72"/>
  <c r="D131" i="72"/>
  <c r="D137" i="72"/>
  <c r="D53" i="72"/>
  <c r="D61" i="72"/>
  <c r="D73" i="72"/>
  <c r="D79" i="72"/>
  <c r="D91" i="72"/>
  <c r="D132" i="72"/>
  <c r="D138" i="72"/>
  <c r="D143" i="72"/>
  <c r="D147" i="72"/>
  <c r="D149" i="72"/>
  <c r="D56" i="72"/>
  <c r="D68" i="72"/>
  <c r="D80" i="72"/>
  <c r="D85" i="72"/>
  <c r="D97" i="72"/>
  <c r="D103" i="72"/>
  <c r="D144" i="72"/>
  <c r="D150" i="72"/>
  <c r="D54" i="72"/>
  <c r="K11" i="72"/>
  <c r="P11" i="72"/>
  <c r="D33" i="72"/>
  <c r="D38" i="72"/>
  <c r="D45" i="72"/>
  <c r="D57" i="72"/>
  <c r="D69" i="72"/>
  <c r="D86" i="72"/>
  <c r="D92" i="72"/>
  <c r="D98" i="72"/>
  <c r="D104" i="72"/>
  <c r="D109" i="72"/>
  <c r="D115" i="72"/>
  <c r="D121" i="72"/>
  <c r="D127" i="72"/>
  <c r="D34" i="72"/>
  <c r="H11" i="72"/>
  <c r="L11" i="72"/>
  <c r="J11" i="72"/>
  <c r="D62" i="72"/>
  <c r="D93" i="72"/>
  <c r="D116" i="72"/>
  <c r="D122" i="72"/>
  <c r="D128" i="72"/>
  <c r="D133" i="72"/>
  <c r="D139" i="72"/>
  <c r="D151" i="72"/>
  <c r="M11" i="72"/>
  <c r="I11" i="72"/>
  <c r="D26" i="72"/>
  <c r="D51" i="72"/>
  <c r="D117" i="72"/>
  <c r="D134" i="72"/>
  <c r="D140" i="72"/>
  <c r="D145" i="72"/>
  <c r="D36" i="72"/>
  <c r="D48" i="72"/>
  <c r="D87" i="72"/>
  <c r="D99" i="72"/>
  <c r="D110" i="72"/>
  <c r="O11" i="72"/>
  <c r="D17" i="72"/>
  <c r="D63" i="72"/>
  <c r="D75" i="72"/>
  <c r="D111" i="72"/>
  <c r="D123" i="72"/>
  <c r="D153" i="72"/>
  <c r="D22" i="72"/>
  <c r="D29" i="72"/>
  <c r="D41" i="72"/>
  <c r="D146" i="72"/>
  <c r="E11" i="72"/>
  <c r="N11" i="72"/>
  <c r="D18" i="72"/>
  <c r="F11" i="72"/>
  <c r="R11" i="72"/>
  <c r="D35" i="72"/>
  <c r="D47" i="72"/>
  <c r="D59" i="72"/>
  <c r="D65" i="72"/>
  <c r="D71" i="72"/>
  <c r="D77" i="72"/>
  <c r="D58" i="72"/>
  <c r="D70" i="72"/>
  <c r="D82" i="72"/>
  <c r="D94" i="72"/>
  <c r="D106" i="72"/>
  <c r="D118" i="72"/>
  <c r="D130" i="72"/>
  <c r="D142" i="72"/>
  <c r="D15" i="72"/>
  <c r="D27" i="72"/>
  <c r="D39" i="72"/>
  <c r="D20" i="72"/>
  <c r="D32" i="72"/>
  <c r="D44" i="72"/>
  <c r="D152" i="72"/>
  <c r="D13" i="72"/>
  <c r="D25" i="72"/>
  <c r="D37" i="72"/>
  <c r="D49" i="72"/>
  <c r="D23" i="72"/>
  <c r="D16" i="72"/>
  <c r="D28" i="72"/>
  <c r="D40" i="72"/>
  <c r="D52" i="72"/>
  <c r="D64" i="72"/>
  <c r="D76" i="72"/>
  <c r="D88" i="72"/>
  <c r="D100" i="72"/>
  <c r="D112" i="72"/>
  <c r="D124" i="72"/>
  <c r="D136" i="72"/>
  <c r="D148" i="72"/>
  <c r="D14" i="72"/>
  <c r="D50" i="72"/>
  <c r="D74" i="72"/>
  <c r="D11" i="72" l="1"/>
  <c r="I153" i="71" l="1"/>
  <c r="F153" i="71"/>
  <c r="D153" i="71" s="1"/>
  <c r="I152" i="71"/>
  <c r="F152" i="71"/>
  <c r="D152" i="71"/>
  <c r="I151" i="71"/>
  <c r="F151" i="71"/>
  <c r="D151" i="71" s="1"/>
  <c r="I150" i="71"/>
  <c r="F150" i="71"/>
  <c r="I149" i="71"/>
  <c r="F149" i="71"/>
  <c r="D149" i="71" s="1"/>
  <c r="I148" i="71"/>
  <c r="F148" i="71"/>
  <c r="I147" i="71"/>
  <c r="F147" i="71"/>
  <c r="I146" i="71"/>
  <c r="F146" i="71"/>
  <c r="I145" i="71"/>
  <c r="F145" i="71"/>
  <c r="D145" i="71"/>
  <c r="I144" i="71"/>
  <c r="F144" i="71"/>
  <c r="D144" i="71" s="1"/>
  <c r="I143" i="71"/>
  <c r="F143" i="71"/>
  <c r="I142" i="71"/>
  <c r="F142" i="71"/>
  <c r="I141" i="71"/>
  <c r="F141" i="71"/>
  <c r="I140" i="71"/>
  <c r="F140" i="71"/>
  <c r="D140" i="71" s="1"/>
  <c r="I139" i="71"/>
  <c r="D139" i="71" s="1"/>
  <c r="F139" i="71"/>
  <c r="I138" i="71"/>
  <c r="F138" i="71"/>
  <c r="I137" i="71"/>
  <c r="F137" i="71"/>
  <c r="I136" i="71"/>
  <c r="F136" i="71"/>
  <c r="I135" i="71"/>
  <c r="D135" i="71" s="1"/>
  <c r="F135" i="71"/>
  <c r="I134" i="71"/>
  <c r="F134" i="71"/>
  <c r="I133" i="71"/>
  <c r="F133" i="71"/>
  <c r="I132" i="71"/>
  <c r="F132" i="71"/>
  <c r="D132" i="71" s="1"/>
  <c r="I131" i="71"/>
  <c r="D131" i="71" s="1"/>
  <c r="F131" i="71"/>
  <c r="I130" i="71"/>
  <c r="F130" i="71"/>
  <c r="I129" i="71"/>
  <c r="F129" i="71"/>
  <c r="D129" i="71" s="1"/>
  <c r="I128" i="71"/>
  <c r="F128" i="71"/>
  <c r="I127" i="71"/>
  <c r="F127" i="71"/>
  <c r="I126" i="71"/>
  <c r="F126" i="71"/>
  <c r="I125" i="71"/>
  <c r="F125" i="71"/>
  <c r="I124" i="71"/>
  <c r="F124" i="71"/>
  <c r="I123" i="71"/>
  <c r="F123" i="71"/>
  <c r="I122" i="71"/>
  <c r="F122" i="71"/>
  <c r="I121" i="71"/>
  <c r="D121" i="71" s="1"/>
  <c r="F121" i="71"/>
  <c r="I120" i="71"/>
  <c r="F120" i="71"/>
  <c r="I119" i="71"/>
  <c r="F119" i="71"/>
  <c r="I118" i="71"/>
  <c r="D118" i="71" s="1"/>
  <c r="F118" i="71"/>
  <c r="I117" i="71"/>
  <c r="D117" i="71" s="1"/>
  <c r="F117" i="71"/>
  <c r="I116" i="71"/>
  <c r="F116" i="71"/>
  <c r="D116" i="71" s="1"/>
  <c r="I115" i="71"/>
  <c r="F115" i="71"/>
  <c r="I114" i="71"/>
  <c r="F114" i="71"/>
  <c r="I113" i="71"/>
  <c r="F113" i="71"/>
  <c r="I112" i="71"/>
  <c r="F112" i="71"/>
  <c r="D112" i="71" s="1"/>
  <c r="I111" i="71"/>
  <c r="F111" i="71"/>
  <c r="I110" i="71"/>
  <c r="D110" i="71" s="1"/>
  <c r="F110" i="71"/>
  <c r="I109" i="71"/>
  <c r="F109" i="71"/>
  <c r="I108" i="71"/>
  <c r="F108" i="71"/>
  <c r="D108" i="71"/>
  <c r="I107" i="71"/>
  <c r="F107" i="71"/>
  <c r="I106" i="71"/>
  <c r="F106" i="71"/>
  <c r="I105" i="71"/>
  <c r="F105" i="71"/>
  <c r="I104" i="71"/>
  <c r="F104" i="71"/>
  <c r="D104" i="71" s="1"/>
  <c r="I103" i="71"/>
  <c r="F103" i="71"/>
  <c r="I102" i="71"/>
  <c r="F102" i="71"/>
  <c r="I101" i="71"/>
  <c r="F101" i="71"/>
  <c r="D101" i="71" s="1"/>
  <c r="I100" i="71"/>
  <c r="F100" i="71"/>
  <c r="I99" i="71"/>
  <c r="F99" i="71"/>
  <c r="I98" i="71"/>
  <c r="F98" i="71"/>
  <c r="I97" i="71"/>
  <c r="F97" i="71"/>
  <c r="D97" i="71" s="1"/>
  <c r="I96" i="71"/>
  <c r="F96" i="71"/>
  <c r="I95" i="71"/>
  <c r="F95" i="71"/>
  <c r="I94" i="71"/>
  <c r="F94" i="71"/>
  <c r="I93" i="71"/>
  <c r="F93" i="71"/>
  <c r="D93" i="71" s="1"/>
  <c r="I92" i="71"/>
  <c r="F92" i="71"/>
  <c r="D92" i="71" s="1"/>
  <c r="I91" i="71"/>
  <c r="F91" i="71"/>
  <c r="I90" i="71"/>
  <c r="F90" i="71"/>
  <c r="I89" i="71"/>
  <c r="F89" i="71"/>
  <c r="I88" i="71"/>
  <c r="F88" i="71"/>
  <c r="I87" i="71"/>
  <c r="F87" i="71"/>
  <c r="I86" i="71"/>
  <c r="F86" i="71"/>
  <c r="I85" i="71"/>
  <c r="F85" i="71"/>
  <c r="D85" i="71" s="1"/>
  <c r="I84" i="71"/>
  <c r="F84" i="71"/>
  <c r="D84" i="71" s="1"/>
  <c r="I83" i="71"/>
  <c r="F83" i="71"/>
  <c r="I82" i="71"/>
  <c r="D82" i="71" s="1"/>
  <c r="F82" i="71"/>
  <c r="I81" i="71"/>
  <c r="F81" i="71"/>
  <c r="I80" i="71"/>
  <c r="F80" i="71"/>
  <c r="D80" i="71" s="1"/>
  <c r="I79" i="71"/>
  <c r="F79" i="71"/>
  <c r="I78" i="71"/>
  <c r="F78" i="71"/>
  <c r="I77" i="71"/>
  <c r="F77" i="71"/>
  <c r="I76" i="71"/>
  <c r="F76" i="71"/>
  <c r="I75" i="71"/>
  <c r="D75" i="71" s="1"/>
  <c r="F75" i="71"/>
  <c r="I74" i="71"/>
  <c r="F74" i="71"/>
  <c r="I73" i="71"/>
  <c r="F73" i="71"/>
  <c r="I72" i="71"/>
  <c r="F72" i="71"/>
  <c r="D72" i="71" s="1"/>
  <c r="I71" i="71"/>
  <c r="F71" i="71"/>
  <c r="I70" i="71"/>
  <c r="D70" i="71" s="1"/>
  <c r="F70" i="71"/>
  <c r="I69" i="71"/>
  <c r="F69" i="71"/>
  <c r="I68" i="71"/>
  <c r="F68" i="71"/>
  <c r="I67" i="71"/>
  <c r="F67" i="71"/>
  <c r="I66" i="71"/>
  <c r="D66" i="71" s="1"/>
  <c r="F66" i="71"/>
  <c r="I65" i="71"/>
  <c r="F65" i="71"/>
  <c r="I64" i="71"/>
  <c r="F64" i="71"/>
  <c r="D64" i="71" s="1"/>
  <c r="I63" i="71"/>
  <c r="F63" i="71"/>
  <c r="I62" i="71"/>
  <c r="F62" i="71"/>
  <c r="I61" i="71"/>
  <c r="F61" i="71"/>
  <c r="D61" i="71" s="1"/>
  <c r="I60" i="71"/>
  <c r="F60" i="71"/>
  <c r="D60" i="71" s="1"/>
  <c r="I59" i="71"/>
  <c r="F59" i="71"/>
  <c r="I58" i="71"/>
  <c r="F58" i="71"/>
  <c r="I57" i="71"/>
  <c r="F57" i="71"/>
  <c r="I56" i="71"/>
  <c r="F56" i="71"/>
  <c r="D56" i="71" s="1"/>
  <c r="I55" i="71"/>
  <c r="F55" i="71"/>
  <c r="I54" i="71"/>
  <c r="F54" i="71"/>
  <c r="I53" i="71"/>
  <c r="F53" i="71"/>
  <c r="D53" i="71" s="1"/>
  <c r="I52" i="71"/>
  <c r="F52" i="71"/>
  <c r="D52" i="71" s="1"/>
  <c r="I51" i="71"/>
  <c r="F51" i="71"/>
  <c r="I50" i="71"/>
  <c r="F50" i="71"/>
  <c r="I49" i="71"/>
  <c r="F49" i="71"/>
  <c r="I48" i="71"/>
  <c r="F48" i="71"/>
  <c r="I47" i="71"/>
  <c r="F47" i="71"/>
  <c r="I46" i="71"/>
  <c r="F46" i="71"/>
  <c r="I45" i="71"/>
  <c r="F45" i="71"/>
  <c r="I44" i="71"/>
  <c r="F44" i="71"/>
  <c r="D44" i="71" s="1"/>
  <c r="I43" i="71"/>
  <c r="F43" i="71"/>
  <c r="I42" i="71"/>
  <c r="F42" i="71"/>
  <c r="I41" i="71"/>
  <c r="F41" i="71"/>
  <c r="D41" i="71" s="1"/>
  <c r="I40" i="71"/>
  <c r="F40" i="71"/>
  <c r="D40" i="71" s="1"/>
  <c r="I39" i="71"/>
  <c r="F39" i="71"/>
  <c r="L38" i="71"/>
  <c r="I38" i="71"/>
  <c r="F38" i="71"/>
  <c r="L37" i="71"/>
  <c r="I37" i="71"/>
  <c r="F37" i="71"/>
  <c r="I36" i="71"/>
  <c r="F36" i="71"/>
  <c r="I35" i="71"/>
  <c r="F35" i="71"/>
  <c r="I34" i="71"/>
  <c r="F34" i="71"/>
  <c r="D34" i="71" s="1"/>
  <c r="I33" i="71"/>
  <c r="F33" i="71"/>
  <c r="I32" i="71"/>
  <c r="F32" i="71"/>
  <c r="I31" i="71"/>
  <c r="F31" i="71"/>
  <c r="I30" i="71"/>
  <c r="F30" i="71"/>
  <c r="I29" i="71"/>
  <c r="F29" i="71"/>
  <c r="I28" i="71"/>
  <c r="F28" i="71"/>
  <c r="I27" i="71"/>
  <c r="F27" i="71"/>
  <c r="I26" i="71"/>
  <c r="F26" i="71"/>
  <c r="I25" i="71"/>
  <c r="F25" i="71"/>
  <c r="I24" i="71"/>
  <c r="F24" i="71"/>
  <c r="I23" i="71"/>
  <c r="F23" i="71"/>
  <c r="I22" i="71"/>
  <c r="F22" i="71"/>
  <c r="I21" i="71"/>
  <c r="F21" i="71"/>
  <c r="I20" i="71"/>
  <c r="F20" i="71"/>
  <c r="I19" i="71"/>
  <c r="F19" i="71"/>
  <c r="I18" i="71"/>
  <c r="F18" i="71"/>
  <c r="I17" i="71"/>
  <c r="F17" i="71"/>
  <c r="I16" i="71"/>
  <c r="F16" i="71"/>
  <c r="I15" i="71"/>
  <c r="F15" i="71"/>
  <c r="I14" i="71"/>
  <c r="F14" i="71"/>
  <c r="I13" i="71"/>
  <c r="F13" i="71"/>
  <c r="I12" i="71"/>
  <c r="F12" i="71"/>
  <c r="K11" i="71"/>
  <c r="K9" i="71" s="1"/>
  <c r="J11" i="71"/>
  <c r="J9" i="71" s="1"/>
  <c r="H11" i="71"/>
  <c r="H9" i="71" s="1"/>
  <c r="G11" i="71"/>
  <c r="E11" i="71"/>
  <c r="E9" i="71" s="1"/>
  <c r="D38" i="71" l="1"/>
  <c r="D76" i="71"/>
  <c r="D96" i="71"/>
  <c r="D147" i="71"/>
  <c r="D113" i="71"/>
  <c r="D50" i="71"/>
  <c r="D109" i="71"/>
  <c r="D125" i="71"/>
  <c r="D133" i="71"/>
  <c r="D98" i="71"/>
  <c r="D122" i="71"/>
  <c r="D126" i="71"/>
  <c r="D142" i="71"/>
  <c r="D29" i="71"/>
  <c r="D48" i="71"/>
  <c r="D99" i="71"/>
  <c r="D33" i="71"/>
  <c r="D39" i="71"/>
  <c r="D43" i="71"/>
  <c r="D62" i="71"/>
  <c r="D77" i="71"/>
  <c r="D88" i="71"/>
  <c r="D100" i="71"/>
  <c r="D107" i="71"/>
  <c r="D137" i="71"/>
  <c r="D148" i="71"/>
  <c r="D55" i="71"/>
  <c r="D63" i="71"/>
  <c r="D67" i="71"/>
  <c r="D119" i="71"/>
  <c r="D123" i="71"/>
  <c r="D134" i="71"/>
  <c r="D138" i="71"/>
  <c r="D74" i="71"/>
  <c r="D115" i="71"/>
  <c r="D141" i="71"/>
  <c r="D15" i="71"/>
  <c r="D19" i="71"/>
  <c r="D23" i="71"/>
  <c r="D27" i="71"/>
  <c r="D31" i="71"/>
  <c r="D35" i="71"/>
  <c r="D45" i="71"/>
  <c r="D68" i="71"/>
  <c r="D120" i="71"/>
  <c r="D124" i="71"/>
  <c r="D128" i="71"/>
  <c r="D36" i="71"/>
  <c r="D42" i="71"/>
  <c r="D65" i="71"/>
  <c r="D69" i="71"/>
  <c r="D91" i="71"/>
  <c r="D106" i="71"/>
  <c r="D136" i="71"/>
  <c r="F11" i="71"/>
  <c r="F9" i="71" s="1"/>
  <c r="D14" i="71"/>
  <c r="D18" i="71"/>
  <c r="D22" i="71"/>
  <c r="D26" i="71"/>
  <c r="D30" i="71"/>
  <c r="D37" i="71"/>
  <c r="D46" i="71"/>
  <c r="D57" i="71"/>
  <c r="D71" i="71"/>
  <c r="D78" i="71"/>
  <c r="D89" i="71"/>
  <c r="D103" i="71"/>
  <c r="D47" i="71"/>
  <c r="D54" i="71"/>
  <c r="D79" i="71"/>
  <c r="D86" i="71"/>
  <c r="D51" i="71"/>
  <c r="D58" i="71"/>
  <c r="D83" i="71"/>
  <c r="D90" i="71"/>
  <c r="D111" i="71"/>
  <c r="D114" i="71"/>
  <c r="D127" i="71"/>
  <c r="D130" i="71"/>
  <c r="D143" i="71"/>
  <c r="D146" i="71"/>
  <c r="D12" i="71"/>
  <c r="D16" i="71"/>
  <c r="D20" i="71"/>
  <c r="D24" i="71"/>
  <c r="D28" i="71"/>
  <c r="D32" i="71"/>
  <c r="D73" i="71"/>
  <c r="D87" i="71"/>
  <c r="D94" i="71"/>
  <c r="D105" i="71"/>
  <c r="G9" i="71"/>
  <c r="L11" i="71"/>
  <c r="L9" i="71" s="1"/>
  <c r="D59" i="71"/>
  <c r="D150" i="71"/>
  <c r="D13" i="71"/>
  <c r="D17" i="71"/>
  <c r="D21" i="71"/>
  <c r="D25" i="71"/>
  <c r="D49" i="71"/>
  <c r="D81" i="71"/>
  <c r="D95" i="71"/>
  <c r="D102" i="71"/>
  <c r="I11" i="71"/>
  <c r="I9" i="71" s="1"/>
  <c r="D11" i="71" l="1"/>
  <c r="D9" i="71" s="1"/>
  <c r="D149" i="70" l="1"/>
  <c r="D148" i="70"/>
  <c r="D147" i="70"/>
  <c r="D146" i="70"/>
  <c r="D145" i="70"/>
  <c r="D144" i="70"/>
  <c r="D143" i="70"/>
  <c r="D142" i="70"/>
  <c r="D141" i="70"/>
  <c r="D140" i="70"/>
  <c r="D139" i="70"/>
  <c r="D138" i="70"/>
  <c r="D137" i="70"/>
  <c r="D136" i="70"/>
  <c r="D135" i="70"/>
  <c r="D134" i="70"/>
  <c r="D133" i="70"/>
  <c r="D132" i="70"/>
  <c r="D131" i="70"/>
  <c r="D130" i="70"/>
  <c r="D129" i="70"/>
  <c r="D128" i="70"/>
  <c r="D127" i="70"/>
  <c r="D126" i="70"/>
  <c r="D125" i="70"/>
  <c r="D124" i="70"/>
  <c r="D123" i="70"/>
  <c r="D122" i="70"/>
  <c r="D121" i="70"/>
  <c r="D120" i="70"/>
  <c r="D119" i="70"/>
  <c r="D118" i="70"/>
  <c r="D117" i="70"/>
  <c r="D116" i="70"/>
  <c r="D115" i="70"/>
  <c r="D114" i="70"/>
  <c r="D113" i="70"/>
  <c r="D112" i="70"/>
  <c r="D111" i="70"/>
  <c r="D110" i="70"/>
  <c r="D109" i="70"/>
  <c r="D108" i="70"/>
  <c r="D107" i="70"/>
  <c r="D106" i="70"/>
  <c r="D105" i="70"/>
  <c r="D104" i="70"/>
  <c r="D103" i="70"/>
  <c r="D102" i="70"/>
  <c r="D101" i="70"/>
  <c r="D100" i="70"/>
  <c r="D99" i="70"/>
  <c r="D98" i="70"/>
  <c r="D97" i="70"/>
  <c r="D96" i="70"/>
  <c r="D95" i="70"/>
  <c r="D94" i="70"/>
  <c r="D93" i="70"/>
  <c r="D92" i="70"/>
  <c r="D91" i="70"/>
  <c r="D90" i="70"/>
  <c r="D89" i="70"/>
  <c r="D88" i="70"/>
  <c r="D87" i="70"/>
  <c r="D86" i="70"/>
  <c r="D85" i="70"/>
  <c r="D84" i="70"/>
  <c r="D83" i="70"/>
  <c r="D82" i="70"/>
  <c r="D81" i="70"/>
  <c r="D80" i="70"/>
  <c r="D79" i="70"/>
  <c r="D78" i="70"/>
  <c r="D77" i="70"/>
  <c r="D76" i="70"/>
  <c r="D75" i="70"/>
  <c r="D74" i="70"/>
  <c r="D73" i="70"/>
  <c r="D72" i="70"/>
  <c r="D71" i="70"/>
  <c r="D70" i="70"/>
  <c r="D69" i="70"/>
  <c r="D68" i="70"/>
  <c r="D67" i="70"/>
  <c r="D66" i="70"/>
  <c r="D65" i="70"/>
  <c r="D64" i="70"/>
  <c r="D63" i="70"/>
  <c r="D62" i="70"/>
  <c r="D61" i="70"/>
  <c r="D60" i="70"/>
  <c r="D59" i="70"/>
  <c r="D58" i="70"/>
  <c r="D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G7" i="70"/>
  <c r="F7" i="70"/>
  <c r="E7" i="70"/>
  <c r="D7" i="70" l="1"/>
  <c r="F151" i="69" l="1"/>
  <c r="D151" i="69" s="1"/>
  <c r="F150" i="69"/>
  <c r="D150" i="69" s="1"/>
  <c r="F149" i="69"/>
  <c r="D149" i="69" s="1"/>
  <c r="F148" i="69"/>
  <c r="D148" i="69" s="1"/>
  <c r="F147" i="69"/>
  <c r="D147" i="69"/>
  <c r="F146" i="69"/>
  <c r="D146" i="69" s="1"/>
  <c r="F145" i="69"/>
  <c r="D145" i="69" s="1"/>
  <c r="F144" i="69"/>
  <c r="D144" i="69" s="1"/>
  <c r="F143" i="69"/>
  <c r="D143" i="69" s="1"/>
  <c r="F142" i="69"/>
  <c r="D142" i="69"/>
  <c r="F141" i="69"/>
  <c r="D141" i="69" s="1"/>
  <c r="F140" i="69"/>
  <c r="D140" i="69" s="1"/>
  <c r="F139" i="69"/>
  <c r="D139" i="69"/>
  <c r="F138" i="69"/>
  <c r="D138" i="69" s="1"/>
  <c r="F137" i="69"/>
  <c r="D137" i="69" s="1"/>
  <c r="F136" i="69"/>
  <c r="D136" i="69"/>
  <c r="F135" i="69"/>
  <c r="D135" i="69"/>
  <c r="F134" i="69"/>
  <c r="D134" i="69" s="1"/>
  <c r="F133" i="69"/>
  <c r="D133" i="69" s="1"/>
  <c r="F132" i="69"/>
  <c r="D132" i="69" s="1"/>
  <c r="F131" i="69"/>
  <c r="D131" i="69" s="1"/>
  <c r="F130" i="69"/>
  <c r="D130" i="69" s="1"/>
  <c r="F129" i="69"/>
  <c r="D129" i="69" s="1"/>
  <c r="F128" i="69"/>
  <c r="D128" i="69" s="1"/>
  <c r="F127" i="69"/>
  <c r="D127" i="69" s="1"/>
  <c r="F126" i="69"/>
  <c r="D126" i="69" s="1"/>
  <c r="F125" i="69"/>
  <c r="D125" i="69" s="1"/>
  <c r="F124" i="69"/>
  <c r="D124" i="69" s="1"/>
  <c r="F123" i="69"/>
  <c r="D123" i="69" s="1"/>
  <c r="F122" i="69"/>
  <c r="D122" i="69" s="1"/>
  <c r="F121" i="69"/>
  <c r="D121" i="69" s="1"/>
  <c r="F120" i="69"/>
  <c r="D120" i="69" s="1"/>
  <c r="F119" i="69"/>
  <c r="D119" i="69" s="1"/>
  <c r="F118" i="69"/>
  <c r="D118" i="69" s="1"/>
  <c r="F117" i="69"/>
  <c r="D117" i="69" s="1"/>
  <c r="F116" i="69"/>
  <c r="D116" i="69" s="1"/>
  <c r="F115" i="69"/>
  <c r="D115" i="69"/>
  <c r="F114" i="69"/>
  <c r="D114" i="69" s="1"/>
  <c r="F113" i="69"/>
  <c r="D113" i="69" s="1"/>
  <c r="F112" i="69"/>
  <c r="D112" i="69" s="1"/>
  <c r="F111" i="69"/>
  <c r="D111" i="69" s="1"/>
  <c r="F110" i="69"/>
  <c r="D110" i="69" s="1"/>
  <c r="F109" i="69"/>
  <c r="D109" i="69"/>
  <c r="F108" i="69"/>
  <c r="D108" i="69" s="1"/>
  <c r="F107" i="69"/>
  <c r="D107" i="69" s="1"/>
  <c r="F106" i="69"/>
  <c r="D106" i="69" s="1"/>
  <c r="F105" i="69"/>
  <c r="D105" i="69" s="1"/>
  <c r="F104" i="69"/>
  <c r="D104" i="69" s="1"/>
  <c r="F103" i="69"/>
  <c r="D103" i="69" s="1"/>
  <c r="F102" i="69"/>
  <c r="D102" i="69" s="1"/>
  <c r="F101" i="69"/>
  <c r="D101" i="69" s="1"/>
  <c r="F100" i="69"/>
  <c r="D100" i="69" s="1"/>
  <c r="F99" i="69"/>
  <c r="D99" i="69" s="1"/>
  <c r="F98" i="69"/>
  <c r="D98" i="69" s="1"/>
  <c r="F97" i="69"/>
  <c r="D97" i="69" s="1"/>
  <c r="F96" i="69"/>
  <c r="D96" i="69" s="1"/>
  <c r="F95" i="69"/>
  <c r="D95" i="69" s="1"/>
  <c r="F94" i="69"/>
  <c r="D94" i="69" s="1"/>
  <c r="F93" i="69"/>
  <c r="D93" i="69" s="1"/>
  <c r="F92" i="69"/>
  <c r="D92" i="69" s="1"/>
  <c r="F91" i="69"/>
  <c r="D91" i="69" s="1"/>
  <c r="F90" i="69"/>
  <c r="D90" i="69" s="1"/>
  <c r="F89" i="69"/>
  <c r="D89" i="69" s="1"/>
  <c r="F88" i="69"/>
  <c r="D88" i="69" s="1"/>
  <c r="F87" i="69"/>
  <c r="D87" i="69" s="1"/>
  <c r="F86" i="69"/>
  <c r="D86" i="69" s="1"/>
  <c r="F85" i="69"/>
  <c r="D85" i="69" s="1"/>
  <c r="F84" i="69"/>
  <c r="D84" i="69" s="1"/>
  <c r="F83" i="69"/>
  <c r="D83" i="69" s="1"/>
  <c r="F82" i="69"/>
  <c r="D82" i="69" s="1"/>
  <c r="F81" i="69"/>
  <c r="D81" i="69" s="1"/>
  <c r="F80" i="69"/>
  <c r="D80" i="69" s="1"/>
  <c r="F79" i="69"/>
  <c r="D79" i="69" s="1"/>
  <c r="F78" i="69"/>
  <c r="D78" i="69" s="1"/>
  <c r="F77" i="69"/>
  <c r="D77" i="69" s="1"/>
  <c r="F76" i="69"/>
  <c r="D76" i="69" s="1"/>
  <c r="F75" i="69"/>
  <c r="D75" i="69" s="1"/>
  <c r="F74" i="69"/>
  <c r="D74" i="69" s="1"/>
  <c r="F73" i="69"/>
  <c r="D73" i="69" s="1"/>
  <c r="F72" i="69"/>
  <c r="D72" i="69" s="1"/>
  <c r="F71" i="69"/>
  <c r="D71" i="69" s="1"/>
  <c r="F70" i="69"/>
  <c r="D70" i="69"/>
  <c r="F69" i="69"/>
  <c r="D69" i="69" s="1"/>
  <c r="F68" i="69"/>
  <c r="D68" i="69" s="1"/>
  <c r="F67" i="69"/>
  <c r="D67" i="69" s="1"/>
  <c r="F66" i="69"/>
  <c r="D66" i="69" s="1"/>
  <c r="F65" i="69"/>
  <c r="D65" i="69" s="1"/>
  <c r="F64" i="69"/>
  <c r="D64" i="69" s="1"/>
  <c r="F63" i="69"/>
  <c r="D63" i="69" s="1"/>
  <c r="F62" i="69"/>
  <c r="D62" i="69" s="1"/>
  <c r="F61" i="69"/>
  <c r="D61" i="69" s="1"/>
  <c r="F60" i="69"/>
  <c r="D60" i="69" s="1"/>
  <c r="F59" i="69"/>
  <c r="D59" i="69" s="1"/>
  <c r="F58" i="69"/>
  <c r="D58" i="69" s="1"/>
  <c r="F57" i="69"/>
  <c r="D57" i="69" s="1"/>
  <c r="F56" i="69"/>
  <c r="D56" i="69" s="1"/>
  <c r="F55" i="69"/>
  <c r="D55" i="69" s="1"/>
  <c r="F54" i="69"/>
  <c r="D54" i="69" s="1"/>
  <c r="F53" i="69"/>
  <c r="D53" i="69" s="1"/>
  <c r="F52" i="69"/>
  <c r="D52" i="69" s="1"/>
  <c r="F51" i="69"/>
  <c r="D51" i="69" s="1"/>
  <c r="F50" i="69"/>
  <c r="D50" i="69" s="1"/>
  <c r="F49" i="69"/>
  <c r="D49" i="69" s="1"/>
  <c r="F48" i="69"/>
  <c r="D48" i="69" s="1"/>
  <c r="F47" i="69"/>
  <c r="D47" i="69" s="1"/>
  <c r="F46" i="69"/>
  <c r="D46" i="69" s="1"/>
  <c r="F45" i="69"/>
  <c r="D45" i="69" s="1"/>
  <c r="F44" i="69"/>
  <c r="D44" i="69" s="1"/>
  <c r="F43" i="69"/>
  <c r="D43" i="69" s="1"/>
  <c r="F42" i="69"/>
  <c r="D42" i="69" s="1"/>
  <c r="F41" i="69"/>
  <c r="D41" i="69" s="1"/>
  <c r="F40" i="69"/>
  <c r="D40" i="69" s="1"/>
  <c r="F39" i="69"/>
  <c r="D39" i="69" s="1"/>
  <c r="F38" i="69"/>
  <c r="D38" i="69" s="1"/>
  <c r="F37" i="69"/>
  <c r="D37" i="69" s="1"/>
  <c r="F36" i="69"/>
  <c r="D36" i="69" s="1"/>
  <c r="F35" i="69"/>
  <c r="D35" i="69" s="1"/>
  <c r="F34" i="69"/>
  <c r="D34" i="69" s="1"/>
  <c r="F33" i="69"/>
  <c r="D33" i="69" s="1"/>
  <c r="F32" i="69"/>
  <c r="D32" i="69" s="1"/>
  <c r="F31" i="69"/>
  <c r="D31" i="69" s="1"/>
  <c r="F30" i="69"/>
  <c r="D30" i="69" s="1"/>
  <c r="F29" i="69"/>
  <c r="D29" i="69" s="1"/>
  <c r="F28" i="69"/>
  <c r="D28" i="69" s="1"/>
  <c r="F27" i="69"/>
  <c r="D27" i="69" s="1"/>
  <c r="F26" i="69"/>
  <c r="D26" i="69" s="1"/>
  <c r="F25" i="69"/>
  <c r="D25" i="69"/>
  <c r="F24" i="69"/>
  <c r="D24" i="69" s="1"/>
  <c r="F23" i="69"/>
  <c r="D23" i="69" s="1"/>
  <c r="F22" i="69"/>
  <c r="D22" i="69" s="1"/>
  <c r="F21" i="69"/>
  <c r="D21" i="69" s="1"/>
  <c r="F20" i="69"/>
  <c r="D20" i="69" s="1"/>
  <c r="F19" i="69"/>
  <c r="D19" i="69"/>
  <c r="F18" i="69"/>
  <c r="D18" i="69" s="1"/>
  <c r="F17" i="69"/>
  <c r="D17" i="69" s="1"/>
  <c r="F16" i="69"/>
  <c r="D16" i="69" s="1"/>
  <c r="F15" i="69"/>
  <c r="D15" i="69" s="1"/>
  <c r="F14" i="69"/>
  <c r="D14" i="69" s="1"/>
  <c r="F13" i="69"/>
  <c r="D13" i="69" s="1"/>
  <c r="F12" i="69"/>
  <c r="D12" i="69" s="1"/>
  <c r="F11" i="69"/>
  <c r="D11" i="69" s="1"/>
  <c r="F10" i="69"/>
  <c r="D10" i="69" s="1"/>
  <c r="H9" i="69"/>
  <c r="H7" i="69" s="1"/>
  <c r="G9" i="69"/>
  <c r="G7" i="69" s="1"/>
  <c r="E9" i="69"/>
  <c r="D8" i="69"/>
  <c r="F9" i="69" l="1"/>
  <c r="F7" i="69" s="1"/>
  <c r="E7" i="69"/>
  <c r="D9" i="69" l="1"/>
  <c r="D7" i="69" s="1"/>
  <c r="D151" i="68"/>
  <c r="D150" i="68"/>
  <c r="D149" i="68"/>
  <c r="D148" i="68"/>
  <c r="D147" i="68"/>
  <c r="D146" i="68"/>
  <c r="D145" i="68"/>
  <c r="D144" i="68"/>
  <c r="D143" i="68"/>
  <c r="D142" i="68"/>
  <c r="D141" i="68"/>
  <c r="D140" i="68"/>
  <c r="D139" i="68"/>
  <c r="D138" i="68"/>
  <c r="D137" i="68"/>
  <c r="D136" i="68"/>
  <c r="D135" i="68"/>
  <c r="D134" i="68"/>
  <c r="D133" i="68"/>
  <c r="D132" i="68"/>
  <c r="D131" i="68"/>
  <c r="D130" i="68"/>
  <c r="D129" i="68"/>
  <c r="D128" i="68"/>
  <c r="D127" i="68"/>
  <c r="D126" i="68"/>
  <c r="D125" i="68"/>
  <c r="D124" i="68"/>
  <c r="D123" i="68"/>
  <c r="D122" i="68"/>
  <c r="D121" i="68"/>
  <c r="D120" i="68"/>
  <c r="D119" i="68"/>
  <c r="D118" i="68"/>
  <c r="D117" i="68"/>
  <c r="D116" i="68"/>
  <c r="D115" i="68"/>
  <c r="D114" i="68"/>
  <c r="D113" i="68"/>
  <c r="D112" i="68"/>
  <c r="D111" i="68"/>
  <c r="D110" i="68"/>
  <c r="D109" i="68"/>
  <c r="D108" i="68"/>
  <c r="D107" i="68"/>
  <c r="D106" i="68"/>
  <c r="D105" i="68"/>
  <c r="D104" i="68"/>
  <c r="D103" i="68"/>
  <c r="D102" i="68"/>
  <c r="D101" i="68"/>
  <c r="D100" i="68"/>
  <c r="D99" i="68"/>
  <c r="D98" i="68"/>
  <c r="D97" i="68"/>
  <c r="D96" i="68"/>
  <c r="D95" i="68"/>
  <c r="D94" i="68"/>
  <c r="D93" i="68"/>
  <c r="D92" i="68"/>
  <c r="D91" i="68"/>
  <c r="D90" i="68"/>
  <c r="D89" i="68"/>
  <c r="D88" i="68"/>
  <c r="D87" i="68"/>
  <c r="D86" i="68"/>
  <c r="D85" i="68"/>
  <c r="D84" i="68"/>
  <c r="D83" i="68"/>
  <c r="D82" i="68"/>
  <c r="D81" i="68"/>
  <c r="D80" i="68"/>
  <c r="D79" i="68"/>
  <c r="D78" i="68"/>
  <c r="D77" i="68"/>
  <c r="D76" i="68"/>
  <c r="D75" i="68"/>
  <c r="D74" i="68"/>
  <c r="D73" i="68"/>
  <c r="D72" i="68"/>
  <c r="D71" i="68"/>
  <c r="D70" i="68"/>
  <c r="D69" i="68"/>
  <c r="D68" i="68"/>
  <c r="D67" i="68"/>
  <c r="D66" i="68"/>
  <c r="D65" i="68"/>
  <c r="D64" i="68"/>
  <c r="D63" i="68"/>
  <c r="D62" i="68"/>
  <c r="D61" i="68"/>
  <c r="D60" i="68"/>
  <c r="D59" i="68"/>
  <c r="D58" i="68"/>
  <c r="D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H9" i="68"/>
  <c r="H7" i="68" s="1"/>
  <c r="G9" i="68"/>
  <c r="G7" i="68" s="1"/>
  <c r="F9" i="68"/>
  <c r="F7" i="68" s="1"/>
  <c r="E9" i="68"/>
  <c r="E7" i="68" s="1"/>
  <c r="D8" i="68"/>
  <c r="D7" i="68" l="1"/>
  <c r="D9" i="68"/>
  <c r="K152" i="67" l="1"/>
  <c r="D152" i="67"/>
  <c r="K151" i="67"/>
  <c r="D151" i="67" s="1"/>
  <c r="K150" i="67"/>
  <c r="D150" i="67" s="1"/>
  <c r="K149" i="67"/>
  <c r="D149" i="67" s="1"/>
  <c r="K148" i="67"/>
  <c r="D148" i="67" s="1"/>
  <c r="K147" i="67"/>
  <c r="D147" i="67" s="1"/>
  <c r="K146" i="67"/>
  <c r="D146" i="67" s="1"/>
  <c r="K145" i="67"/>
  <c r="D145" i="67" s="1"/>
  <c r="K144" i="67"/>
  <c r="D144" i="67" s="1"/>
  <c r="K143" i="67"/>
  <c r="D143" i="67" s="1"/>
  <c r="K142" i="67"/>
  <c r="D142" i="67" s="1"/>
  <c r="K141" i="67"/>
  <c r="D141" i="67" s="1"/>
  <c r="K140" i="67"/>
  <c r="D140" i="67" s="1"/>
  <c r="K139" i="67"/>
  <c r="D139" i="67" s="1"/>
  <c r="K138" i="67"/>
  <c r="D138" i="67" s="1"/>
  <c r="K137" i="67"/>
  <c r="D137" i="67" s="1"/>
  <c r="K136" i="67"/>
  <c r="D136" i="67"/>
  <c r="K135" i="67"/>
  <c r="D135" i="67" s="1"/>
  <c r="K134" i="67"/>
  <c r="D134" i="67" s="1"/>
  <c r="K133" i="67"/>
  <c r="D133" i="67" s="1"/>
  <c r="K132" i="67"/>
  <c r="D132" i="67" s="1"/>
  <c r="K131" i="67"/>
  <c r="D131" i="67" s="1"/>
  <c r="K130" i="67"/>
  <c r="D130" i="67" s="1"/>
  <c r="K129" i="67"/>
  <c r="D129" i="67" s="1"/>
  <c r="K128" i="67"/>
  <c r="D128" i="67" s="1"/>
  <c r="K127" i="67"/>
  <c r="D127" i="67" s="1"/>
  <c r="K126" i="67"/>
  <c r="D126" i="67" s="1"/>
  <c r="K125" i="67"/>
  <c r="D125" i="67" s="1"/>
  <c r="K124" i="67"/>
  <c r="D124" i="67" s="1"/>
  <c r="K123" i="67"/>
  <c r="D123" i="67" s="1"/>
  <c r="K122" i="67"/>
  <c r="D122" i="67" s="1"/>
  <c r="K121" i="67"/>
  <c r="D121" i="67" s="1"/>
  <c r="K120" i="67"/>
  <c r="D120" i="67" s="1"/>
  <c r="K119" i="67"/>
  <c r="D119" i="67" s="1"/>
  <c r="K118" i="67"/>
  <c r="D118" i="67" s="1"/>
  <c r="K117" i="67"/>
  <c r="D117" i="67" s="1"/>
  <c r="K116" i="67"/>
  <c r="D116" i="67" s="1"/>
  <c r="K115" i="67"/>
  <c r="D115" i="67" s="1"/>
  <c r="K114" i="67"/>
  <c r="D114" i="67" s="1"/>
  <c r="K113" i="67"/>
  <c r="D113" i="67" s="1"/>
  <c r="K112" i="67"/>
  <c r="D112" i="67" s="1"/>
  <c r="K111" i="67"/>
  <c r="D111" i="67" s="1"/>
  <c r="K110" i="67"/>
  <c r="D110" i="67" s="1"/>
  <c r="K109" i="67"/>
  <c r="D109" i="67" s="1"/>
  <c r="K108" i="67"/>
  <c r="D108" i="67" s="1"/>
  <c r="K107" i="67"/>
  <c r="D107" i="67" s="1"/>
  <c r="K106" i="67"/>
  <c r="D106" i="67" s="1"/>
  <c r="K105" i="67"/>
  <c r="D105" i="67" s="1"/>
  <c r="K104" i="67"/>
  <c r="D104" i="67" s="1"/>
  <c r="K103" i="67"/>
  <c r="D103" i="67" s="1"/>
  <c r="K102" i="67"/>
  <c r="D102" i="67" s="1"/>
  <c r="K101" i="67"/>
  <c r="D101" i="67" s="1"/>
  <c r="K100" i="67"/>
  <c r="D100" i="67" s="1"/>
  <c r="K99" i="67"/>
  <c r="D99" i="67" s="1"/>
  <c r="K98" i="67"/>
  <c r="D98" i="67" s="1"/>
  <c r="K97" i="67"/>
  <c r="D97" i="67" s="1"/>
  <c r="K96" i="67"/>
  <c r="D96" i="67" s="1"/>
  <c r="K95" i="67"/>
  <c r="D95" i="67" s="1"/>
  <c r="K94" i="67"/>
  <c r="D94" i="67" s="1"/>
  <c r="K93" i="67"/>
  <c r="D93" i="67" s="1"/>
  <c r="K92" i="67"/>
  <c r="D92" i="67" s="1"/>
  <c r="K91" i="67"/>
  <c r="D91" i="67" s="1"/>
  <c r="K90" i="67"/>
  <c r="D90" i="67" s="1"/>
  <c r="K89" i="67"/>
  <c r="D89" i="67"/>
  <c r="K88" i="67"/>
  <c r="D88" i="67" s="1"/>
  <c r="K87" i="67"/>
  <c r="D87" i="67" s="1"/>
  <c r="K86" i="67"/>
  <c r="D86" i="67" s="1"/>
  <c r="K85" i="67"/>
  <c r="D85" i="67" s="1"/>
  <c r="K84" i="67"/>
  <c r="D84" i="67" s="1"/>
  <c r="K83" i="67"/>
  <c r="D83" i="67" s="1"/>
  <c r="K82" i="67"/>
  <c r="D82" i="67" s="1"/>
  <c r="K81" i="67"/>
  <c r="D81" i="67" s="1"/>
  <c r="K80" i="67"/>
  <c r="D80" i="67" s="1"/>
  <c r="K79" i="67"/>
  <c r="D79" i="67" s="1"/>
  <c r="K78" i="67"/>
  <c r="D78" i="67" s="1"/>
  <c r="K77" i="67"/>
  <c r="D77" i="67" s="1"/>
  <c r="K76" i="67"/>
  <c r="D76" i="67" s="1"/>
  <c r="K75" i="67"/>
  <c r="D75" i="67" s="1"/>
  <c r="K74" i="67"/>
  <c r="D74" i="67" s="1"/>
  <c r="K73" i="67"/>
  <c r="D73" i="67"/>
  <c r="K72" i="67"/>
  <c r="D72" i="67" s="1"/>
  <c r="K71" i="67"/>
  <c r="D71" i="67" s="1"/>
  <c r="K70" i="67"/>
  <c r="D70" i="67" s="1"/>
  <c r="K69" i="67"/>
  <c r="D69" i="67" s="1"/>
  <c r="K68" i="67"/>
  <c r="D68" i="67" s="1"/>
  <c r="K67" i="67"/>
  <c r="D67" i="67" s="1"/>
  <c r="K66" i="67"/>
  <c r="D66" i="67" s="1"/>
  <c r="K65" i="67"/>
  <c r="D65" i="67" s="1"/>
  <c r="K64" i="67"/>
  <c r="D64" i="67" s="1"/>
  <c r="K63" i="67"/>
  <c r="D63" i="67" s="1"/>
  <c r="K62" i="67"/>
  <c r="D62" i="67" s="1"/>
  <c r="K61" i="67"/>
  <c r="D61" i="67" s="1"/>
  <c r="K60" i="67"/>
  <c r="D60" i="67" s="1"/>
  <c r="K59" i="67"/>
  <c r="D59" i="67" s="1"/>
  <c r="K58" i="67"/>
  <c r="D58" i="67" s="1"/>
  <c r="K57" i="67"/>
  <c r="D57" i="67" s="1"/>
  <c r="K56" i="67"/>
  <c r="D56" i="67" s="1"/>
  <c r="K55" i="67"/>
  <c r="D55" i="67" s="1"/>
  <c r="K54" i="67"/>
  <c r="D54" i="67" s="1"/>
  <c r="K53" i="67"/>
  <c r="D53" i="67" s="1"/>
  <c r="K52" i="67"/>
  <c r="D52" i="67" s="1"/>
  <c r="K51" i="67"/>
  <c r="D51" i="67" s="1"/>
  <c r="K50" i="67"/>
  <c r="D50" i="67" s="1"/>
  <c r="K49" i="67"/>
  <c r="D49" i="67" s="1"/>
  <c r="K48" i="67"/>
  <c r="D48" i="67" s="1"/>
  <c r="K47" i="67"/>
  <c r="D47" i="67" s="1"/>
  <c r="K46" i="67"/>
  <c r="D46" i="67" s="1"/>
  <c r="K45" i="67"/>
  <c r="D45" i="67" s="1"/>
  <c r="K44" i="67"/>
  <c r="D44" i="67" s="1"/>
  <c r="K43" i="67"/>
  <c r="D43" i="67" s="1"/>
  <c r="K42" i="67"/>
  <c r="D42" i="67" s="1"/>
  <c r="K41" i="67"/>
  <c r="D41" i="67" s="1"/>
  <c r="K40" i="67"/>
  <c r="D40" i="67" s="1"/>
  <c r="K39" i="67"/>
  <c r="D39" i="67" s="1"/>
  <c r="K38" i="67"/>
  <c r="D38" i="67" s="1"/>
  <c r="K37" i="67"/>
  <c r="D37" i="67" s="1"/>
  <c r="K36" i="67"/>
  <c r="D36" i="67" s="1"/>
  <c r="K35" i="67"/>
  <c r="D35" i="67" s="1"/>
  <c r="K34" i="67"/>
  <c r="D34" i="67" s="1"/>
  <c r="K33" i="67"/>
  <c r="D33" i="67" s="1"/>
  <c r="K32" i="67"/>
  <c r="D32" i="67" s="1"/>
  <c r="K31" i="67"/>
  <c r="D31" i="67" s="1"/>
  <c r="K30" i="67"/>
  <c r="D30" i="67" s="1"/>
  <c r="K29" i="67"/>
  <c r="D29" i="67" s="1"/>
  <c r="K28" i="67"/>
  <c r="D28" i="67" s="1"/>
  <c r="K27" i="67"/>
  <c r="D27" i="67" s="1"/>
  <c r="K26" i="67"/>
  <c r="D26" i="67" s="1"/>
  <c r="K25" i="67"/>
  <c r="D25" i="67" s="1"/>
  <c r="K24" i="67"/>
  <c r="D24" i="67" s="1"/>
  <c r="K23" i="67"/>
  <c r="D23" i="67" s="1"/>
  <c r="K22" i="67"/>
  <c r="D22" i="67" s="1"/>
  <c r="K21" i="67"/>
  <c r="D21" i="67" s="1"/>
  <c r="K20" i="67"/>
  <c r="D20" i="67" s="1"/>
  <c r="K19" i="67"/>
  <c r="D19" i="67" s="1"/>
  <c r="K18" i="67"/>
  <c r="D18" i="67" s="1"/>
  <c r="K17" i="67"/>
  <c r="D17" i="67"/>
  <c r="K16" i="67"/>
  <c r="D16" i="67" s="1"/>
  <c r="K15" i="67"/>
  <c r="D15" i="67" s="1"/>
  <c r="K14" i="67"/>
  <c r="D14" i="67" s="1"/>
  <c r="K13" i="67"/>
  <c r="D13" i="67" s="1"/>
  <c r="K12" i="67"/>
  <c r="D12" i="67" s="1"/>
  <c r="K11" i="67"/>
  <c r="D11" i="67" s="1"/>
  <c r="N10" i="67"/>
  <c r="N8" i="67" s="1"/>
  <c r="M10" i="67"/>
  <c r="M8" i="67" s="1"/>
  <c r="L10" i="67"/>
  <c r="J10" i="67"/>
  <c r="J8" i="67" s="1"/>
  <c r="I10" i="67"/>
  <c r="I8" i="67" s="1"/>
  <c r="H10" i="67"/>
  <c r="H8" i="67" s="1"/>
  <c r="G10" i="67"/>
  <c r="G8" i="67" s="1"/>
  <c r="F10" i="67"/>
  <c r="F8" i="67" s="1"/>
  <c r="E10" i="67"/>
  <c r="E8" i="67" s="1"/>
  <c r="K9" i="67"/>
  <c r="D9" i="67" s="1"/>
  <c r="K10" i="67" l="1"/>
  <c r="K8" i="67" s="1"/>
  <c r="L8" i="67"/>
  <c r="D10" i="67" l="1"/>
  <c r="D8" i="67"/>
  <c r="O9" i="66" l="1"/>
  <c r="K152" i="66"/>
  <c r="H152" i="66"/>
  <c r="E152" i="66"/>
  <c r="K151" i="66"/>
  <c r="H151" i="66"/>
  <c r="E151" i="66"/>
  <c r="K150" i="66"/>
  <c r="H150" i="66"/>
  <c r="E150" i="66"/>
  <c r="K149" i="66"/>
  <c r="H149" i="66"/>
  <c r="E149" i="66"/>
  <c r="K148" i="66"/>
  <c r="H148" i="66"/>
  <c r="E148" i="66"/>
  <c r="K147" i="66"/>
  <c r="H147" i="66"/>
  <c r="E147" i="66"/>
  <c r="K146" i="66"/>
  <c r="H146" i="66"/>
  <c r="E146" i="66"/>
  <c r="K145" i="66"/>
  <c r="H145" i="66"/>
  <c r="E145" i="66"/>
  <c r="K144" i="66"/>
  <c r="H144" i="66"/>
  <c r="E144" i="66"/>
  <c r="K143" i="66"/>
  <c r="H143" i="66"/>
  <c r="E143" i="66"/>
  <c r="K142" i="66"/>
  <c r="H142" i="66"/>
  <c r="E142" i="66"/>
  <c r="K141" i="66"/>
  <c r="H141" i="66"/>
  <c r="E141" i="66"/>
  <c r="K140" i="66"/>
  <c r="H140" i="66"/>
  <c r="E140" i="66"/>
  <c r="K139" i="66"/>
  <c r="H139" i="66"/>
  <c r="E139" i="66"/>
  <c r="K138" i="66"/>
  <c r="H138" i="66"/>
  <c r="E138" i="66"/>
  <c r="K137" i="66"/>
  <c r="H137" i="66"/>
  <c r="E137" i="66"/>
  <c r="K136" i="66"/>
  <c r="H136" i="66"/>
  <c r="E136" i="66"/>
  <c r="K135" i="66"/>
  <c r="H135" i="66"/>
  <c r="E135" i="66"/>
  <c r="K134" i="66"/>
  <c r="H134" i="66"/>
  <c r="E134" i="66"/>
  <c r="K133" i="66"/>
  <c r="H133" i="66"/>
  <c r="E133" i="66"/>
  <c r="K132" i="66"/>
  <c r="H132" i="66"/>
  <c r="E132" i="66"/>
  <c r="K131" i="66"/>
  <c r="H131" i="66"/>
  <c r="E131" i="66"/>
  <c r="D131" i="66" s="1"/>
  <c r="K130" i="66"/>
  <c r="H130" i="66"/>
  <c r="E130" i="66"/>
  <c r="K129" i="66"/>
  <c r="H129" i="66"/>
  <c r="E129" i="66"/>
  <c r="K128" i="66"/>
  <c r="H128" i="66"/>
  <c r="E128" i="66"/>
  <c r="K127" i="66"/>
  <c r="H127" i="66"/>
  <c r="E127" i="66"/>
  <c r="K126" i="66"/>
  <c r="H126" i="66"/>
  <c r="E126" i="66"/>
  <c r="K125" i="66"/>
  <c r="H125" i="66"/>
  <c r="E125" i="66"/>
  <c r="K124" i="66"/>
  <c r="H124" i="66"/>
  <c r="E124" i="66"/>
  <c r="K123" i="66"/>
  <c r="H123" i="66"/>
  <c r="E123" i="66"/>
  <c r="K122" i="66"/>
  <c r="H122" i="66"/>
  <c r="E122" i="66"/>
  <c r="K121" i="66"/>
  <c r="H121" i="66"/>
  <c r="E121" i="66"/>
  <c r="K120" i="66"/>
  <c r="H120" i="66"/>
  <c r="E120" i="66"/>
  <c r="K119" i="66"/>
  <c r="H119" i="66"/>
  <c r="E119" i="66"/>
  <c r="K118" i="66"/>
  <c r="H118" i="66"/>
  <c r="E118" i="66"/>
  <c r="K117" i="66"/>
  <c r="H117" i="66"/>
  <c r="E117" i="66"/>
  <c r="K116" i="66"/>
  <c r="H116" i="66"/>
  <c r="E116" i="66"/>
  <c r="K115" i="66"/>
  <c r="H115" i="66"/>
  <c r="E115" i="66"/>
  <c r="K114" i="66"/>
  <c r="H114" i="66"/>
  <c r="E114" i="66"/>
  <c r="K113" i="66"/>
  <c r="H113" i="66"/>
  <c r="E113" i="66"/>
  <c r="K112" i="66"/>
  <c r="H112" i="66"/>
  <c r="E112" i="66"/>
  <c r="K111" i="66"/>
  <c r="H111" i="66"/>
  <c r="E111" i="66"/>
  <c r="K110" i="66"/>
  <c r="H110" i="66"/>
  <c r="E110" i="66"/>
  <c r="K109" i="66"/>
  <c r="H109" i="66"/>
  <c r="E109" i="66"/>
  <c r="K108" i="66"/>
  <c r="H108" i="66"/>
  <c r="E108" i="66"/>
  <c r="K107" i="66"/>
  <c r="H107" i="66"/>
  <c r="E107" i="66"/>
  <c r="K106" i="66"/>
  <c r="H106" i="66"/>
  <c r="E106" i="66"/>
  <c r="K105" i="66"/>
  <c r="H105" i="66"/>
  <c r="E105" i="66"/>
  <c r="K104" i="66"/>
  <c r="H104" i="66"/>
  <c r="E104" i="66"/>
  <c r="K103" i="66"/>
  <c r="H103" i="66"/>
  <c r="E103" i="66"/>
  <c r="K102" i="66"/>
  <c r="H102" i="66"/>
  <c r="E102" i="66"/>
  <c r="K101" i="66"/>
  <c r="H101" i="66"/>
  <c r="E101" i="66"/>
  <c r="K100" i="66"/>
  <c r="H100" i="66"/>
  <c r="E100" i="66"/>
  <c r="K99" i="66"/>
  <c r="H99" i="66"/>
  <c r="E99" i="66"/>
  <c r="K98" i="66"/>
  <c r="H98" i="66"/>
  <c r="E98" i="66"/>
  <c r="K97" i="66"/>
  <c r="H97" i="66"/>
  <c r="E97" i="66"/>
  <c r="K96" i="66"/>
  <c r="H96" i="66"/>
  <c r="E96" i="66"/>
  <c r="K95" i="66"/>
  <c r="D95" i="66"/>
  <c r="K94" i="66"/>
  <c r="H94" i="66"/>
  <c r="E94" i="66"/>
  <c r="K93" i="66"/>
  <c r="H93" i="66"/>
  <c r="E93" i="66"/>
  <c r="K92" i="66"/>
  <c r="H92" i="66"/>
  <c r="E92" i="66"/>
  <c r="K91" i="66"/>
  <c r="H91" i="66"/>
  <c r="E91" i="66"/>
  <c r="K90" i="66"/>
  <c r="H90" i="66"/>
  <c r="E90" i="66"/>
  <c r="K89" i="66"/>
  <c r="H89" i="66"/>
  <c r="E89" i="66"/>
  <c r="K88" i="66"/>
  <c r="H88" i="66"/>
  <c r="E88" i="66"/>
  <c r="K87" i="66"/>
  <c r="H87" i="66"/>
  <c r="E87" i="66"/>
  <c r="D87" i="66" s="1"/>
  <c r="K86" i="66"/>
  <c r="H86" i="66"/>
  <c r="E86" i="66"/>
  <c r="K85" i="66"/>
  <c r="H85" i="66"/>
  <c r="E85" i="66"/>
  <c r="K84" i="66"/>
  <c r="H84" i="66"/>
  <c r="E84" i="66"/>
  <c r="K83" i="66"/>
  <c r="H83" i="66"/>
  <c r="E83" i="66"/>
  <c r="K82" i="66"/>
  <c r="H82" i="66"/>
  <c r="E82" i="66"/>
  <c r="K81" i="66"/>
  <c r="H81" i="66"/>
  <c r="E81" i="66"/>
  <c r="K80" i="66"/>
  <c r="H80" i="66"/>
  <c r="E80" i="66"/>
  <c r="K79" i="66"/>
  <c r="H79" i="66"/>
  <c r="E79" i="66"/>
  <c r="K78" i="66"/>
  <c r="H78" i="66"/>
  <c r="E78" i="66"/>
  <c r="K77" i="66"/>
  <c r="H77" i="66"/>
  <c r="E77" i="66"/>
  <c r="K76" i="66"/>
  <c r="H76" i="66"/>
  <c r="E76" i="66"/>
  <c r="K75" i="66"/>
  <c r="H75" i="66"/>
  <c r="E75" i="66"/>
  <c r="K74" i="66"/>
  <c r="H74" i="66"/>
  <c r="E74" i="66"/>
  <c r="K73" i="66"/>
  <c r="H73" i="66"/>
  <c r="E73" i="66"/>
  <c r="K72" i="66"/>
  <c r="H72" i="66"/>
  <c r="E72" i="66"/>
  <c r="K71" i="66"/>
  <c r="H71" i="66"/>
  <c r="E71" i="66"/>
  <c r="K70" i="66"/>
  <c r="H70" i="66"/>
  <c r="E70" i="66"/>
  <c r="K69" i="66"/>
  <c r="H69" i="66"/>
  <c r="E69" i="66"/>
  <c r="K68" i="66"/>
  <c r="H68" i="66"/>
  <c r="E68" i="66"/>
  <c r="K67" i="66"/>
  <c r="H67" i="66"/>
  <c r="E67" i="66"/>
  <c r="K66" i="66"/>
  <c r="H66" i="66"/>
  <c r="E66" i="66"/>
  <c r="K65" i="66"/>
  <c r="H65" i="66"/>
  <c r="E65" i="66"/>
  <c r="K64" i="66"/>
  <c r="H64" i="66"/>
  <c r="E64" i="66"/>
  <c r="K63" i="66"/>
  <c r="H63" i="66"/>
  <c r="E63" i="66"/>
  <c r="K62" i="66"/>
  <c r="H62" i="66"/>
  <c r="E62" i="66"/>
  <c r="K61" i="66"/>
  <c r="H61" i="66"/>
  <c r="E61" i="66"/>
  <c r="K60" i="66"/>
  <c r="H60" i="66"/>
  <c r="E60" i="66"/>
  <c r="K59" i="66"/>
  <c r="H59" i="66"/>
  <c r="E59" i="66"/>
  <c r="K58" i="66"/>
  <c r="H58" i="66"/>
  <c r="E58" i="66"/>
  <c r="K57" i="66"/>
  <c r="H57" i="66"/>
  <c r="E57" i="66"/>
  <c r="K56" i="66"/>
  <c r="H56" i="66"/>
  <c r="E56" i="66"/>
  <c r="K55" i="66"/>
  <c r="H55" i="66"/>
  <c r="E55" i="66"/>
  <c r="K54" i="66"/>
  <c r="H54" i="66"/>
  <c r="E54" i="66"/>
  <c r="K53" i="66"/>
  <c r="H53" i="66"/>
  <c r="E53" i="66"/>
  <c r="K52" i="66"/>
  <c r="H52" i="66"/>
  <c r="E52" i="66"/>
  <c r="K51" i="66"/>
  <c r="H51" i="66"/>
  <c r="E51" i="66"/>
  <c r="K50" i="66"/>
  <c r="H50" i="66"/>
  <c r="E50" i="66"/>
  <c r="K49" i="66"/>
  <c r="H49" i="66"/>
  <c r="E49" i="66"/>
  <c r="K48" i="66"/>
  <c r="H48" i="66"/>
  <c r="E48" i="66"/>
  <c r="K47" i="66"/>
  <c r="H47" i="66"/>
  <c r="E47" i="66"/>
  <c r="K46" i="66"/>
  <c r="H46" i="66"/>
  <c r="E46" i="66"/>
  <c r="K45" i="66"/>
  <c r="H45" i="66"/>
  <c r="E45" i="66"/>
  <c r="K44" i="66"/>
  <c r="H44" i="66"/>
  <c r="E44" i="66"/>
  <c r="K43" i="66"/>
  <c r="H43" i="66"/>
  <c r="E43" i="66"/>
  <c r="K42" i="66"/>
  <c r="H42" i="66"/>
  <c r="E42" i="66"/>
  <c r="K41" i="66"/>
  <c r="H41" i="66"/>
  <c r="E41" i="66"/>
  <c r="K40" i="66"/>
  <c r="H40" i="66"/>
  <c r="E40" i="66"/>
  <c r="K39" i="66"/>
  <c r="H39" i="66"/>
  <c r="E39" i="66"/>
  <c r="K38" i="66"/>
  <c r="H38" i="66"/>
  <c r="E38" i="66"/>
  <c r="K37" i="66"/>
  <c r="H37" i="66"/>
  <c r="E37" i="66"/>
  <c r="K36" i="66"/>
  <c r="H36" i="66"/>
  <c r="E36" i="66"/>
  <c r="K35" i="66"/>
  <c r="H35" i="66"/>
  <c r="E35" i="66"/>
  <c r="K34" i="66"/>
  <c r="H34" i="66"/>
  <c r="E34" i="66"/>
  <c r="K33" i="66"/>
  <c r="H33" i="66"/>
  <c r="E33" i="66"/>
  <c r="K32" i="66"/>
  <c r="H32" i="66"/>
  <c r="E32" i="66"/>
  <c r="K31" i="66"/>
  <c r="H31" i="66"/>
  <c r="E31" i="66"/>
  <c r="K30" i="66"/>
  <c r="H30" i="66"/>
  <c r="E30" i="66"/>
  <c r="K29" i="66"/>
  <c r="H29" i="66"/>
  <c r="E29" i="66"/>
  <c r="K28" i="66"/>
  <c r="H28" i="66"/>
  <c r="E28" i="66"/>
  <c r="K27" i="66"/>
  <c r="H27" i="66"/>
  <c r="E27" i="66"/>
  <c r="K26" i="66"/>
  <c r="H26" i="66"/>
  <c r="E26" i="66"/>
  <c r="K25" i="66"/>
  <c r="H25" i="66"/>
  <c r="E25" i="66"/>
  <c r="K24" i="66"/>
  <c r="H24" i="66"/>
  <c r="E24" i="66"/>
  <c r="K23" i="66"/>
  <c r="H23" i="66"/>
  <c r="E23" i="66"/>
  <c r="K22" i="66"/>
  <c r="H22" i="66"/>
  <c r="E22" i="66"/>
  <c r="K21" i="66"/>
  <c r="H21" i="66"/>
  <c r="E21" i="66"/>
  <c r="K20" i="66"/>
  <c r="H20" i="66"/>
  <c r="E20" i="66"/>
  <c r="K19" i="66"/>
  <c r="H19" i="66"/>
  <c r="E19" i="66"/>
  <c r="K18" i="66"/>
  <c r="H18" i="66"/>
  <c r="E18" i="66"/>
  <c r="K17" i="66"/>
  <c r="H17" i="66"/>
  <c r="E17" i="66"/>
  <c r="K16" i="66"/>
  <c r="H16" i="66"/>
  <c r="E16" i="66"/>
  <c r="K15" i="66"/>
  <c r="H15" i="66"/>
  <c r="E15" i="66"/>
  <c r="K14" i="66"/>
  <c r="H14" i="66"/>
  <c r="E14" i="66"/>
  <c r="K13" i="66"/>
  <c r="H13" i="66"/>
  <c r="E13" i="66"/>
  <c r="K12" i="66"/>
  <c r="H12" i="66"/>
  <c r="E12" i="66"/>
  <c r="K11" i="66"/>
  <c r="H11" i="66"/>
  <c r="E11" i="66"/>
  <c r="S10" i="66"/>
  <c r="S8" i="66" s="1"/>
  <c r="R10" i="66"/>
  <c r="R8" i="66" s="1"/>
  <c r="Q10" i="66"/>
  <c r="Q8" i="66" s="1"/>
  <c r="P10" i="66"/>
  <c r="P8" i="66" s="1"/>
  <c r="O10" i="66"/>
  <c r="N10" i="66"/>
  <c r="M10" i="66"/>
  <c r="L10" i="66"/>
  <c r="L8" i="66" s="1"/>
  <c r="J10" i="66"/>
  <c r="J8" i="66" s="1"/>
  <c r="I10" i="66"/>
  <c r="I8" i="66" s="1"/>
  <c r="G10" i="66"/>
  <c r="G8" i="66" s="1"/>
  <c r="F10" i="66"/>
  <c r="K9" i="66"/>
  <c r="E9" i="66"/>
  <c r="M8" i="66"/>
  <c r="D135" i="66" l="1"/>
  <c r="D143" i="66"/>
  <c r="D58" i="66"/>
  <c r="D74" i="66"/>
  <c r="D82" i="66"/>
  <c r="D101" i="66"/>
  <c r="D73" i="66"/>
  <c r="D45" i="66"/>
  <c r="D125" i="66"/>
  <c r="D124" i="66"/>
  <c r="D147" i="66"/>
  <c r="D57" i="66"/>
  <c r="D91" i="66"/>
  <c r="D13" i="66"/>
  <c r="D61" i="66"/>
  <c r="D33" i="66"/>
  <c r="D70" i="66"/>
  <c r="D113" i="66"/>
  <c r="O8" i="66"/>
  <c r="E10" i="66"/>
  <c r="D15" i="66"/>
  <c r="D19" i="66"/>
  <c r="D27" i="66"/>
  <c r="D114" i="66"/>
  <c r="D107" i="66"/>
  <c r="D111" i="66"/>
  <c r="D24" i="66"/>
  <c r="D108" i="66"/>
  <c r="D116" i="66"/>
  <c r="D84" i="66"/>
  <c r="D21" i="66"/>
  <c r="D52" i="66"/>
  <c r="D81" i="66"/>
  <c r="D14" i="66"/>
  <c r="D98" i="66"/>
  <c r="D149" i="66"/>
  <c r="F8" i="66"/>
  <c r="E8" i="66" s="1"/>
  <c r="D36" i="66"/>
  <c r="D48" i="66"/>
  <c r="D119" i="66"/>
  <c r="D123" i="66"/>
  <c r="D142" i="66"/>
  <c r="D28" i="66"/>
  <c r="D60" i="66"/>
  <c r="D72" i="66"/>
  <c r="D100" i="66"/>
  <c r="D76" i="66"/>
  <c r="D25" i="66"/>
  <c r="D37" i="66"/>
  <c r="D69" i="66"/>
  <c r="D127" i="66"/>
  <c r="D9" i="66"/>
  <c r="D22" i="66"/>
  <c r="D26" i="66"/>
  <c r="D49" i="66"/>
  <c r="D93" i="66"/>
  <c r="D128" i="66"/>
  <c r="D34" i="66"/>
  <c r="D46" i="66"/>
  <c r="D50" i="66"/>
  <c r="D85" i="66"/>
  <c r="D109" i="66"/>
  <c r="D117" i="66"/>
  <c r="D144" i="66"/>
  <c r="D151" i="66"/>
  <c r="D106" i="66"/>
  <c r="D148" i="66"/>
  <c r="D39" i="66"/>
  <c r="D43" i="66"/>
  <c r="D51" i="66"/>
  <c r="D122" i="66"/>
  <c r="D137" i="66"/>
  <c r="D12" i="66"/>
  <c r="D63" i="66"/>
  <c r="D67" i="66"/>
  <c r="D75" i="66"/>
  <c r="D99" i="66"/>
  <c r="D145" i="66"/>
  <c r="D64" i="66"/>
  <c r="D88" i="66"/>
  <c r="D139" i="66"/>
  <c r="D31" i="66"/>
  <c r="D38" i="66"/>
  <c r="D55" i="66"/>
  <c r="D62" i="66"/>
  <c r="D79" i="66"/>
  <c r="D86" i="66"/>
  <c r="D96" i="66"/>
  <c r="D102" i="66"/>
  <c r="D110" i="66"/>
  <c r="D120" i="66"/>
  <c r="D130" i="66"/>
  <c r="D133" i="66"/>
  <c r="D140" i="66"/>
  <c r="D16" i="66"/>
  <c r="D17" i="66"/>
  <c r="D41" i="66"/>
  <c r="D65" i="66"/>
  <c r="D89" i="66"/>
  <c r="D126" i="66"/>
  <c r="D11" i="66"/>
  <c r="D18" i="66"/>
  <c r="D32" i="66"/>
  <c r="D35" i="66"/>
  <c r="D42" i="66"/>
  <c r="D56" i="66"/>
  <c r="D59" i="66"/>
  <c r="D66" i="66"/>
  <c r="D80" i="66"/>
  <c r="D83" i="66"/>
  <c r="D90" i="66"/>
  <c r="D103" i="66"/>
  <c r="D134" i="66"/>
  <c r="D141" i="66"/>
  <c r="D150" i="66"/>
  <c r="D40" i="66"/>
  <c r="D97" i="66"/>
  <c r="D104" i="66"/>
  <c r="D118" i="66"/>
  <c r="D121" i="66"/>
  <c r="D94" i="66"/>
  <c r="K10" i="66"/>
  <c r="D105" i="66"/>
  <c r="D112" i="66"/>
  <c r="D152" i="66"/>
  <c r="D29" i="66"/>
  <c r="D53" i="66"/>
  <c r="D77" i="66"/>
  <c r="D132" i="66"/>
  <c r="D138" i="66"/>
  <c r="D20" i="66"/>
  <c r="D23" i="66"/>
  <c r="D30" i="66"/>
  <c r="D44" i="66"/>
  <c r="D47" i="66"/>
  <c r="D54" i="66"/>
  <c r="D68" i="66"/>
  <c r="D71" i="66"/>
  <c r="D78" i="66"/>
  <c r="D92" i="66"/>
  <c r="D115" i="66"/>
  <c r="D129" i="66"/>
  <c r="D136" i="66"/>
  <c r="D146" i="66"/>
  <c r="H8" i="66"/>
  <c r="N8" i="66"/>
  <c r="H10" i="66"/>
  <c r="D10" i="66" l="1"/>
  <c r="K8" i="66"/>
  <c r="D8" i="66" l="1"/>
  <c r="R8" i="35" l="1"/>
  <c r="S8" i="35" s="1"/>
  <c r="R9" i="35"/>
  <c r="S9" i="35" s="1"/>
  <c r="R10" i="35"/>
  <c r="S10" i="35" s="1"/>
  <c r="R11" i="35"/>
  <c r="S11" i="35" s="1"/>
  <c r="R12" i="35"/>
  <c r="S12" i="35" s="1"/>
  <c r="R13" i="35"/>
  <c r="S13" i="35" s="1"/>
  <c r="R14" i="35"/>
  <c r="S14" i="35" s="1"/>
  <c r="R15" i="35"/>
  <c r="S15" i="35" s="1"/>
  <c r="R16" i="35"/>
  <c r="S16" i="35" s="1"/>
  <c r="R17" i="35"/>
  <c r="S17" i="35" s="1"/>
  <c r="R18" i="35"/>
  <c r="S18" i="35" s="1"/>
  <c r="R19" i="35"/>
  <c r="S19" i="35" s="1"/>
  <c r="R20" i="35"/>
  <c r="S20" i="35" s="1"/>
  <c r="R21" i="35"/>
  <c r="S21" i="35" s="1"/>
  <c r="R22" i="35"/>
  <c r="R23" i="35"/>
  <c r="R24" i="35"/>
  <c r="R25" i="35"/>
  <c r="S25" i="35" s="1"/>
  <c r="R26" i="35"/>
  <c r="S26" i="35" s="1"/>
  <c r="R27" i="35"/>
  <c r="S27" i="35" s="1"/>
  <c r="R7" i="35"/>
  <c r="D66" i="13" l="1"/>
  <c r="D65" i="13"/>
  <c r="AX39" i="65"/>
  <c r="AW39" i="65"/>
  <c r="AT39" i="65"/>
  <c r="AS39" i="65"/>
  <c r="AR39" i="65"/>
  <c r="AK39" i="65"/>
  <c r="AJ39" i="65"/>
  <c r="AI39" i="65"/>
  <c r="AH39" i="65"/>
  <c r="AG39" i="65"/>
  <c r="AF39" i="65"/>
  <c r="AC39" i="65"/>
  <c r="AB39" i="65"/>
  <c r="X39" i="65"/>
  <c r="V39" i="65"/>
  <c r="AL38" i="65"/>
  <c r="U38" i="65"/>
  <c r="T38" i="65"/>
  <c r="S38" i="65"/>
  <c r="R38" i="65"/>
  <c r="Q38" i="65"/>
  <c r="P38" i="65"/>
  <c r="O38" i="65"/>
  <c r="N38" i="65"/>
  <c r="M38" i="65"/>
  <c r="L38" i="65"/>
  <c r="K38" i="65"/>
  <c r="J38" i="65"/>
  <c r="I38" i="65"/>
  <c r="H38" i="65"/>
  <c r="G38" i="65"/>
  <c r="F38" i="65"/>
  <c r="E38" i="65"/>
  <c r="AL37" i="65"/>
  <c r="U37" i="65"/>
  <c r="T37" i="65"/>
  <c r="S37" i="65"/>
  <c r="R37" i="65"/>
  <c r="Q37" i="65"/>
  <c r="P37" i="65"/>
  <c r="O37" i="65"/>
  <c r="N37" i="65"/>
  <c r="M37" i="65"/>
  <c r="L37" i="65"/>
  <c r="K37" i="65"/>
  <c r="J37" i="65"/>
  <c r="I37" i="65"/>
  <c r="H37" i="65"/>
  <c r="G37" i="65"/>
  <c r="F37" i="65"/>
  <c r="E37" i="65"/>
  <c r="AL36" i="65"/>
  <c r="U36" i="65"/>
  <c r="T36" i="65"/>
  <c r="S36" i="65"/>
  <c r="R36" i="65"/>
  <c r="Q36" i="65"/>
  <c r="P36" i="65"/>
  <c r="O36" i="65"/>
  <c r="N36" i="65"/>
  <c r="M36" i="65"/>
  <c r="L36" i="65"/>
  <c r="K36" i="65"/>
  <c r="J36" i="65"/>
  <c r="I36" i="65"/>
  <c r="H36" i="65"/>
  <c r="G36" i="65"/>
  <c r="F36" i="65"/>
  <c r="E36" i="65"/>
  <c r="AL35" i="65"/>
  <c r="U35" i="65"/>
  <c r="T35" i="65"/>
  <c r="S35" i="65"/>
  <c r="R35" i="65"/>
  <c r="Q35" i="65"/>
  <c r="P35" i="65"/>
  <c r="O35" i="65"/>
  <c r="N35" i="65"/>
  <c r="M35" i="65"/>
  <c r="L35" i="65"/>
  <c r="K35" i="65"/>
  <c r="J35" i="65"/>
  <c r="I35" i="65"/>
  <c r="H35" i="65"/>
  <c r="G35" i="65"/>
  <c r="F35" i="65"/>
  <c r="E35" i="65"/>
  <c r="AL34" i="65"/>
  <c r="U34" i="65"/>
  <c r="T34" i="65"/>
  <c r="S34" i="65"/>
  <c r="R34" i="65"/>
  <c r="Q34" i="65"/>
  <c r="P34" i="65"/>
  <c r="O34" i="65"/>
  <c r="N34" i="65"/>
  <c r="M34" i="65"/>
  <c r="L34" i="65"/>
  <c r="K34" i="65"/>
  <c r="J34" i="65"/>
  <c r="I34" i="65"/>
  <c r="H34" i="65"/>
  <c r="G34" i="65"/>
  <c r="F34" i="65"/>
  <c r="E34" i="65"/>
  <c r="AL33" i="65"/>
  <c r="U33" i="65"/>
  <c r="T33" i="65"/>
  <c r="S33" i="65"/>
  <c r="R33" i="65"/>
  <c r="Q33" i="65"/>
  <c r="P33" i="65"/>
  <c r="O33" i="65"/>
  <c r="N33" i="65"/>
  <c r="M33" i="65"/>
  <c r="L33" i="65"/>
  <c r="K33" i="65"/>
  <c r="J33" i="65"/>
  <c r="I33" i="65"/>
  <c r="H33" i="65"/>
  <c r="G33" i="65"/>
  <c r="F33" i="65"/>
  <c r="E33" i="65"/>
  <c r="AL32" i="65"/>
  <c r="U32" i="65"/>
  <c r="T32" i="65"/>
  <c r="S32" i="65"/>
  <c r="R32" i="65"/>
  <c r="Q32" i="65"/>
  <c r="P32" i="65"/>
  <c r="O32" i="65"/>
  <c r="N32" i="65"/>
  <c r="M32" i="65"/>
  <c r="L32" i="65"/>
  <c r="K32" i="65"/>
  <c r="J32" i="65"/>
  <c r="I32" i="65"/>
  <c r="H32" i="65"/>
  <c r="G32" i="65"/>
  <c r="F32" i="65"/>
  <c r="E32" i="65"/>
  <c r="AL31" i="65"/>
  <c r="U31" i="65"/>
  <c r="T31" i="65"/>
  <c r="S31" i="65"/>
  <c r="R31" i="65"/>
  <c r="Q31" i="65"/>
  <c r="P31" i="65"/>
  <c r="O31" i="65"/>
  <c r="N31" i="65"/>
  <c r="M31" i="65"/>
  <c r="L31" i="65"/>
  <c r="K31" i="65"/>
  <c r="J31" i="65"/>
  <c r="I31" i="65"/>
  <c r="H31" i="65"/>
  <c r="G31" i="65"/>
  <c r="F31" i="65"/>
  <c r="E31" i="65"/>
  <c r="AL30" i="65"/>
  <c r="U30" i="65"/>
  <c r="T30" i="65"/>
  <c r="S30" i="65"/>
  <c r="R30" i="65"/>
  <c r="Q30" i="65"/>
  <c r="P30" i="65"/>
  <c r="O30" i="65"/>
  <c r="N30" i="65"/>
  <c r="M30" i="65"/>
  <c r="L30" i="65"/>
  <c r="K30" i="65"/>
  <c r="J30" i="65"/>
  <c r="I30" i="65"/>
  <c r="H30" i="65"/>
  <c r="G30" i="65"/>
  <c r="F30" i="65"/>
  <c r="E30" i="65"/>
  <c r="AL29" i="65"/>
  <c r="U29" i="65"/>
  <c r="T29" i="65"/>
  <c r="S29" i="65"/>
  <c r="R29" i="65"/>
  <c r="Q29" i="65"/>
  <c r="P29" i="65"/>
  <c r="O29" i="65"/>
  <c r="N29" i="65"/>
  <c r="M29" i="65"/>
  <c r="L29" i="65"/>
  <c r="K29" i="65"/>
  <c r="J29" i="65"/>
  <c r="I29" i="65"/>
  <c r="H29" i="65"/>
  <c r="G29" i="65"/>
  <c r="F29" i="65"/>
  <c r="E29" i="65"/>
  <c r="AL28" i="65"/>
  <c r="U28" i="65"/>
  <c r="T28" i="65"/>
  <c r="S28" i="65"/>
  <c r="R28" i="65"/>
  <c r="Q28" i="65"/>
  <c r="P28" i="65"/>
  <c r="O28" i="65"/>
  <c r="N28" i="65"/>
  <c r="M28" i="65"/>
  <c r="L28" i="65"/>
  <c r="K28" i="65"/>
  <c r="J28" i="65"/>
  <c r="I28" i="65"/>
  <c r="H28" i="65"/>
  <c r="G28" i="65"/>
  <c r="F28" i="65"/>
  <c r="E28" i="65"/>
  <c r="AL27" i="65"/>
  <c r="U27" i="65"/>
  <c r="T27" i="65"/>
  <c r="S27" i="65"/>
  <c r="R27" i="65"/>
  <c r="Q27" i="65"/>
  <c r="P27" i="65"/>
  <c r="O27" i="65"/>
  <c r="N27" i="65"/>
  <c r="M27" i="65"/>
  <c r="L27" i="65"/>
  <c r="K27" i="65"/>
  <c r="J27" i="65"/>
  <c r="I27" i="65"/>
  <c r="H27" i="65"/>
  <c r="G27" i="65"/>
  <c r="F27" i="65"/>
  <c r="E27" i="65"/>
  <c r="AL26" i="65"/>
  <c r="U26" i="65"/>
  <c r="T26" i="65"/>
  <c r="S26" i="65"/>
  <c r="R26" i="65"/>
  <c r="Q26" i="65"/>
  <c r="P26" i="65"/>
  <c r="O26" i="65"/>
  <c r="N26" i="65"/>
  <c r="M26" i="65"/>
  <c r="L26" i="65"/>
  <c r="K26" i="65"/>
  <c r="J26" i="65"/>
  <c r="I26" i="65"/>
  <c r="H26" i="65"/>
  <c r="G26" i="65"/>
  <c r="F26" i="65"/>
  <c r="E26" i="65"/>
  <c r="AL25" i="65"/>
  <c r="U25" i="65"/>
  <c r="T25" i="65"/>
  <c r="S25" i="65"/>
  <c r="R25" i="65"/>
  <c r="Q25" i="65"/>
  <c r="P25" i="65"/>
  <c r="O25" i="65"/>
  <c r="N25" i="65"/>
  <c r="M25" i="65"/>
  <c r="L25" i="65"/>
  <c r="K25" i="65"/>
  <c r="J25" i="65"/>
  <c r="I25" i="65"/>
  <c r="H25" i="65"/>
  <c r="G25" i="65"/>
  <c r="F25" i="65"/>
  <c r="E25" i="65"/>
  <c r="AL24" i="65"/>
  <c r="U24" i="65"/>
  <c r="T24" i="65"/>
  <c r="S24" i="65"/>
  <c r="R24" i="65"/>
  <c r="Q24" i="65"/>
  <c r="P24" i="65"/>
  <c r="O24" i="65"/>
  <c r="N24" i="65"/>
  <c r="M24" i="65"/>
  <c r="L24" i="65"/>
  <c r="K24" i="65"/>
  <c r="J24" i="65"/>
  <c r="I24" i="65"/>
  <c r="H24" i="65"/>
  <c r="G24" i="65"/>
  <c r="F24" i="65"/>
  <c r="E24" i="65"/>
  <c r="AL23" i="65"/>
  <c r="U23" i="65"/>
  <c r="T23" i="65"/>
  <c r="S23" i="65"/>
  <c r="R23" i="65"/>
  <c r="Q23" i="65"/>
  <c r="P23" i="65"/>
  <c r="O23" i="65"/>
  <c r="N23" i="65"/>
  <c r="M23" i="65"/>
  <c r="L23" i="65"/>
  <c r="K23" i="65"/>
  <c r="J23" i="65"/>
  <c r="I23" i="65"/>
  <c r="H23" i="65"/>
  <c r="G23" i="65"/>
  <c r="F23" i="65"/>
  <c r="E23" i="65"/>
  <c r="AL22" i="65"/>
  <c r="U22" i="65"/>
  <c r="T22" i="65"/>
  <c r="S22" i="65"/>
  <c r="R22" i="65"/>
  <c r="Q22" i="65"/>
  <c r="P22" i="65"/>
  <c r="O22" i="65"/>
  <c r="N22" i="65"/>
  <c r="M22" i="65"/>
  <c r="L22" i="65"/>
  <c r="K22" i="65"/>
  <c r="J22" i="65"/>
  <c r="I22" i="65"/>
  <c r="H22" i="65"/>
  <c r="G22" i="65"/>
  <c r="F22" i="65"/>
  <c r="E22" i="65"/>
  <c r="AL21" i="65"/>
  <c r="U21" i="65"/>
  <c r="T21" i="65"/>
  <c r="S21" i="65"/>
  <c r="R21" i="65"/>
  <c r="Q21" i="65"/>
  <c r="P21" i="65"/>
  <c r="O21" i="65"/>
  <c r="N21" i="65"/>
  <c r="M21" i="65"/>
  <c r="L21" i="65"/>
  <c r="K21" i="65"/>
  <c r="J21" i="65"/>
  <c r="I21" i="65"/>
  <c r="H21" i="65"/>
  <c r="G21" i="65"/>
  <c r="F21" i="65"/>
  <c r="E21" i="65"/>
  <c r="AL20" i="65"/>
  <c r="U20" i="65"/>
  <c r="T20" i="65"/>
  <c r="S20" i="65"/>
  <c r="R20" i="65"/>
  <c r="Q20" i="65"/>
  <c r="P20" i="65"/>
  <c r="O20" i="65"/>
  <c r="N20" i="65"/>
  <c r="M20" i="65"/>
  <c r="L20" i="65"/>
  <c r="K20" i="65"/>
  <c r="J20" i="65"/>
  <c r="I20" i="65"/>
  <c r="H20" i="65"/>
  <c r="G20" i="65"/>
  <c r="F20" i="65"/>
  <c r="E20" i="65"/>
  <c r="AL19" i="65"/>
  <c r="U19" i="65"/>
  <c r="T19" i="65"/>
  <c r="S19" i="65"/>
  <c r="R19" i="65"/>
  <c r="Q19" i="65"/>
  <c r="P19" i="65"/>
  <c r="O19" i="65"/>
  <c r="N19" i="65"/>
  <c r="M19" i="65"/>
  <c r="L19" i="65"/>
  <c r="K19" i="65"/>
  <c r="J19" i="65"/>
  <c r="I19" i="65"/>
  <c r="H19" i="65"/>
  <c r="G19" i="65"/>
  <c r="F19" i="65"/>
  <c r="E19" i="65"/>
  <c r="AL18" i="65"/>
  <c r="U18" i="65"/>
  <c r="T18" i="65"/>
  <c r="S18" i="65"/>
  <c r="R18" i="65"/>
  <c r="Q18" i="65"/>
  <c r="P18" i="65"/>
  <c r="O18" i="65"/>
  <c r="N18" i="65"/>
  <c r="M18" i="65"/>
  <c r="L18" i="65"/>
  <c r="K18" i="65"/>
  <c r="J18" i="65"/>
  <c r="I18" i="65"/>
  <c r="H18" i="65"/>
  <c r="G18" i="65"/>
  <c r="F18" i="65"/>
  <c r="E18" i="65"/>
  <c r="AL17" i="65"/>
  <c r="U17" i="65"/>
  <c r="T17" i="65"/>
  <c r="S17" i="65"/>
  <c r="R17" i="65"/>
  <c r="Q17" i="65"/>
  <c r="P17" i="65"/>
  <c r="O17" i="65"/>
  <c r="N17" i="65"/>
  <c r="M17" i="65"/>
  <c r="L17" i="65"/>
  <c r="K17" i="65"/>
  <c r="J17" i="65"/>
  <c r="I17" i="65"/>
  <c r="H17" i="65"/>
  <c r="G17" i="65"/>
  <c r="F17" i="65"/>
  <c r="E17" i="65"/>
  <c r="AZ16" i="65"/>
  <c r="AZ39" i="65" s="1"/>
  <c r="AY16" i="65"/>
  <c r="AY39" i="65" s="1"/>
  <c r="AU16" i="65"/>
  <c r="M16" i="65" s="1"/>
  <c r="AN16" i="65"/>
  <c r="U16" i="65"/>
  <c r="T16" i="65"/>
  <c r="S16" i="65"/>
  <c r="P16" i="65"/>
  <c r="O16" i="65"/>
  <c r="N16" i="65"/>
  <c r="L16" i="65"/>
  <c r="K16" i="65"/>
  <c r="J16" i="65"/>
  <c r="I16" i="65"/>
  <c r="H16" i="65"/>
  <c r="G16" i="65"/>
  <c r="E16" i="65"/>
  <c r="AU15" i="65"/>
  <c r="M15" i="65" s="1"/>
  <c r="AQ15" i="65"/>
  <c r="AQ39" i="65" s="1"/>
  <c r="AP15" i="65"/>
  <c r="AP39" i="65" s="1"/>
  <c r="AO15" i="65"/>
  <c r="G15" i="65" s="1"/>
  <c r="AN15" i="65"/>
  <c r="F15" i="65" s="1"/>
  <c r="AM15" i="65"/>
  <c r="U15" i="65"/>
  <c r="T15" i="65"/>
  <c r="S15" i="65"/>
  <c r="R15" i="65"/>
  <c r="Q15" i="65"/>
  <c r="P15" i="65"/>
  <c r="O15" i="65"/>
  <c r="N15" i="65"/>
  <c r="L15" i="65"/>
  <c r="K15" i="65"/>
  <c r="J15" i="65"/>
  <c r="AL14" i="65"/>
  <c r="U14" i="65"/>
  <c r="T14" i="65"/>
  <c r="S14" i="65"/>
  <c r="R14" i="65"/>
  <c r="Q14" i="65"/>
  <c r="P14" i="65"/>
  <c r="O14" i="65"/>
  <c r="N14" i="65"/>
  <c r="M14" i="65"/>
  <c r="L14" i="65"/>
  <c r="K14" i="65"/>
  <c r="J14" i="65"/>
  <c r="I14" i="65"/>
  <c r="H14" i="65"/>
  <c r="G14" i="65"/>
  <c r="F14" i="65"/>
  <c r="E14" i="65"/>
  <c r="AL13" i="65"/>
  <c r="U13" i="65"/>
  <c r="T13" i="65"/>
  <c r="S13" i="65"/>
  <c r="R13" i="65"/>
  <c r="Q13" i="65"/>
  <c r="P13" i="65"/>
  <c r="O13" i="65"/>
  <c r="N13" i="65"/>
  <c r="M13" i="65"/>
  <c r="L13" i="65"/>
  <c r="K13" i="65"/>
  <c r="J13" i="65"/>
  <c r="I13" i="65"/>
  <c r="H13" i="65"/>
  <c r="G13" i="65"/>
  <c r="F13" i="65"/>
  <c r="E13" i="65"/>
  <c r="AL12" i="65"/>
  <c r="U12" i="65"/>
  <c r="T12" i="65"/>
  <c r="S12" i="65"/>
  <c r="R12" i="65"/>
  <c r="Q12" i="65"/>
  <c r="P12" i="65"/>
  <c r="O12" i="65"/>
  <c r="N12" i="65"/>
  <c r="M12" i="65"/>
  <c r="L12" i="65"/>
  <c r="K12" i="65"/>
  <c r="J12" i="65"/>
  <c r="I12" i="65"/>
  <c r="H12" i="65"/>
  <c r="G12" i="65"/>
  <c r="F12" i="65"/>
  <c r="E12" i="65"/>
  <c r="AV11" i="65"/>
  <c r="AV39" i="65" s="1"/>
  <c r="AU11" i="65"/>
  <c r="U11" i="65"/>
  <c r="T11" i="65"/>
  <c r="S11" i="65"/>
  <c r="R11" i="65"/>
  <c r="Q11" i="65"/>
  <c r="P11" i="65"/>
  <c r="O11" i="65"/>
  <c r="L11" i="65"/>
  <c r="K11" i="65"/>
  <c r="J11" i="65"/>
  <c r="I11" i="65"/>
  <c r="H11" i="65"/>
  <c r="G11" i="65"/>
  <c r="F11" i="65"/>
  <c r="E11" i="65"/>
  <c r="AL10" i="65"/>
  <c r="U10" i="65"/>
  <c r="T10" i="65"/>
  <c r="S10" i="65"/>
  <c r="R10" i="65"/>
  <c r="Q10" i="65"/>
  <c r="P10" i="65"/>
  <c r="O10" i="65"/>
  <c r="N10" i="65"/>
  <c r="M10" i="65"/>
  <c r="L10" i="65"/>
  <c r="K10" i="65"/>
  <c r="J10" i="65"/>
  <c r="I10" i="65"/>
  <c r="H10" i="65"/>
  <c r="G10" i="65"/>
  <c r="F10" i="65"/>
  <c r="E10" i="65"/>
  <c r="AL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AL8" i="65"/>
  <c r="AE8" i="65"/>
  <c r="N8" i="65" s="1"/>
  <c r="AD8" i="65"/>
  <c r="AD39" i="65" s="1"/>
  <c r="AA8" i="65"/>
  <c r="AA39" i="65" s="1"/>
  <c r="Z8" i="65"/>
  <c r="I8" i="65" s="1"/>
  <c r="Y8" i="65"/>
  <c r="Y39" i="65" s="1"/>
  <c r="W8" i="65"/>
  <c r="W39" i="65" s="1"/>
  <c r="T8" i="65"/>
  <c r="S8" i="65"/>
  <c r="R8" i="65"/>
  <c r="Q8" i="65"/>
  <c r="P8" i="65"/>
  <c r="O8" i="65"/>
  <c r="L8" i="65"/>
  <c r="K8" i="65"/>
  <c r="G8" i="65"/>
  <c r="E8" i="65"/>
  <c r="N11" i="65" l="1"/>
  <c r="I15" i="65"/>
  <c r="AU39" i="65"/>
  <c r="H8" i="65"/>
  <c r="N39" i="65"/>
  <c r="J8" i="65"/>
  <c r="J39" i="65" s="1"/>
  <c r="D20" i="65"/>
  <c r="D24" i="65"/>
  <c r="D27" i="65"/>
  <c r="D31" i="65"/>
  <c r="D36" i="65"/>
  <c r="K39" i="65"/>
  <c r="AL15" i="65"/>
  <c r="AL11" i="65"/>
  <c r="L39" i="65"/>
  <c r="AN39" i="65"/>
  <c r="Q16" i="65"/>
  <c r="D28" i="65"/>
  <c r="S39" i="65"/>
  <c r="T39" i="65"/>
  <c r="M8" i="65"/>
  <c r="U8" i="65"/>
  <c r="U39" i="65" s="1"/>
  <c r="D12" i="65"/>
  <c r="H15" i="65"/>
  <c r="H39" i="65" s="1"/>
  <c r="R16" i="65"/>
  <c r="R39" i="65" s="1"/>
  <c r="D17" i="65"/>
  <c r="D21" i="65"/>
  <c r="D33" i="65"/>
  <c r="D37" i="65"/>
  <c r="D38" i="65"/>
  <c r="AM39" i="65"/>
  <c r="D23" i="65"/>
  <c r="AE39" i="65"/>
  <c r="D9" i="65"/>
  <c r="F8" i="65"/>
  <c r="D10" i="65"/>
  <c r="D22" i="65"/>
  <c r="D25" i="65"/>
  <c r="D26" i="65"/>
  <c r="D29" i="65"/>
  <c r="E15" i="65"/>
  <c r="E39" i="65" s="1"/>
  <c r="P39" i="65"/>
  <c r="I39" i="65"/>
  <c r="D18" i="65"/>
  <c r="D30" i="65"/>
  <c r="D13" i="65"/>
  <c r="Q39" i="65"/>
  <c r="O39" i="65"/>
  <c r="M11" i="65"/>
  <c r="D11" i="65" s="1"/>
  <c r="D14" i="65"/>
  <c r="AL16" i="65"/>
  <c r="D32" i="65"/>
  <c r="D34" i="65"/>
  <c r="D19" i="65"/>
  <c r="D35" i="65"/>
  <c r="G39" i="65"/>
  <c r="AO39" i="65"/>
  <c r="Z39" i="65"/>
  <c r="F16" i="65"/>
  <c r="D16" i="65" s="1"/>
  <c r="D8" i="65" l="1"/>
  <c r="AL39" i="65"/>
  <c r="M39" i="65"/>
  <c r="D15" i="65"/>
  <c r="F39" i="65"/>
  <c r="D39" i="65" l="1"/>
  <c r="E124" i="64"/>
  <c r="I123" i="64"/>
  <c r="G123" i="64"/>
  <c r="I122" i="64"/>
  <c r="D122" i="64"/>
  <c r="I121" i="64"/>
  <c r="D121" i="64" s="1"/>
  <c r="I120" i="64"/>
  <c r="D120" i="64" s="1"/>
  <c r="I119" i="64"/>
  <c r="H119" i="64"/>
  <c r="H124" i="64" s="1"/>
  <c r="F119" i="64"/>
  <c r="F124" i="64" s="1"/>
  <c r="I118" i="64"/>
  <c r="D118" i="64" s="1"/>
  <c r="I117" i="64"/>
  <c r="D117" i="64" s="1"/>
  <c r="I116" i="64"/>
  <c r="D116" i="64" s="1"/>
  <c r="I115" i="64"/>
  <c r="D115" i="64" s="1"/>
  <c r="I114" i="64"/>
  <c r="D114" i="64" s="1"/>
  <c r="G114" i="64"/>
  <c r="I113" i="64"/>
  <c r="D113" i="64" s="1"/>
  <c r="G113" i="64"/>
  <c r="I112" i="64"/>
  <c r="D112" i="64" s="1"/>
  <c r="I111" i="64"/>
  <c r="D111" i="64" s="1"/>
  <c r="I110" i="64"/>
  <c r="G110" i="64"/>
  <c r="I109" i="64"/>
  <c r="D109" i="64" s="1"/>
  <c r="I108" i="64"/>
  <c r="D108" i="64" s="1"/>
  <c r="I107" i="64"/>
  <c r="G107" i="64"/>
  <c r="I106" i="64"/>
  <c r="D106" i="64" s="1"/>
  <c r="I105" i="64"/>
  <c r="D105" i="64" s="1"/>
  <c r="I104" i="64"/>
  <c r="D104" i="64" s="1"/>
  <c r="I103" i="64"/>
  <c r="D103" i="64" s="1"/>
  <c r="I102" i="64"/>
  <c r="D102" i="64" s="1"/>
  <c r="I101" i="64"/>
  <c r="D101" i="64" s="1"/>
  <c r="I100" i="64"/>
  <c r="D100" i="64" s="1"/>
  <c r="I99" i="64"/>
  <c r="D99" i="64" s="1"/>
  <c r="I98" i="64"/>
  <c r="D98" i="64" s="1"/>
  <c r="I97" i="64"/>
  <c r="D97" i="64" s="1"/>
  <c r="I96" i="64"/>
  <c r="D96" i="64" s="1"/>
  <c r="I95" i="64"/>
  <c r="D95" i="64" s="1"/>
  <c r="I94" i="64"/>
  <c r="D94" i="64" s="1"/>
  <c r="I93" i="64"/>
  <c r="D93" i="64" s="1"/>
  <c r="I92" i="64"/>
  <c r="D92" i="64" s="1"/>
  <c r="I91" i="64"/>
  <c r="D91" i="64" s="1"/>
  <c r="I90" i="64"/>
  <c r="D90" i="64" s="1"/>
  <c r="I89" i="64"/>
  <c r="D89" i="64" s="1"/>
  <c r="I88" i="64"/>
  <c r="D88" i="64" s="1"/>
  <c r="I87" i="64"/>
  <c r="D87" i="64" s="1"/>
  <c r="I86" i="64"/>
  <c r="D86" i="64" s="1"/>
  <c r="I85" i="64"/>
  <c r="D85" i="64" s="1"/>
  <c r="I84" i="64"/>
  <c r="D84" i="64" s="1"/>
  <c r="I83" i="64"/>
  <c r="D83" i="64" s="1"/>
  <c r="I82" i="64"/>
  <c r="D82" i="64" s="1"/>
  <c r="I81" i="64"/>
  <c r="D81" i="64" s="1"/>
  <c r="I80" i="64"/>
  <c r="D80" i="64" s="1"/>
  <c r="I79" i="64"/>
  <c r="D79" i="64" s="1"/>
  <c r="I78" i="64"/>
  <c r="D78" i="64" s="1"/>
  <c r="I77" i="64"/>
  <c r="D77" i="64" s="1"/>
  <c r="I76" i="64"/>
  <c r="D76" i="64" s="1"/>
  <c r="I75" i="64"/>
  <c r="D75" i="64" s="1"/>
  <c r="I74" i="64"/>
  <c r="D74" i="64" s="1"/>
  <c r="I73" i="64"/>
  <c r="D73" i="64" s="1"/>
  <c r="I72" i="64"/>
  <c r="D72" i="64" s="1"/>
  <c r="I71" i="64"/>
  <c r="D71" i="64" s="1"/>
  <c r="I70" i="64"/>
  <c r="D70" i="64" s="1"/>
  <c r="I69" i="64"/>
  <c r="D69" i="64" s="1"/>
  <c r="I68" i="64"/>
  <c r="D68" i="64" s="1"/>
  <c r="I67" i="64"/>
  <c r="D67" i="64" s="1"/>
  <c r="I66" i="64"/>
  <c r="D66" i="64" s="1"/>
  <c r="I65" i="64"/>
  <c r="D65" i="64" s="1"/>
  <c r="I64" i="64"/>
  <c r="D64" i="64" s="1"/>
  <c r="I63" i="64"/>
  <c r="D63" i="64" s="1"/>
  <c r="I62" i="64"/>
  <c r="D62" i="64" s="1"/>
  <c r="I61" i="64"/>
  <c r="D61" i="64" s="1"/>
  <c r="I60" i="64"/>
  <c r="D60" i="64" s="1"/>
  <c r="I59" i="64"/>
  <c r="D59" i="64" s="1"/>
  <c r="I58" i="64"/>
  <c r="D58" i="64" s="1"/>
  <c r="I57" i="64"/>
  <c r="D57" i="64" s="1"/>
  <c r="I56" i="64"/>
  <c r="D56" i="64" s="1"/>
  <c r="I55" i="64"/>
  <c r="D55" i="64" s="1"/>
  <c r="I54" i="64"/>
  <c r="D54" i="64" s="1"/>
  <c r="I53" i="64"/>
  <c r="D53" i="64" s="1"/>
  <c r="I52" i="64"/>
  <c r="D52" i="64" s="1"/>
  <c r="I51" i="64"/>
  <c r="D51" i="64" s="1"/>
  <c r="I50" i="64"/>
  <c r="D50" i="64" s="1"/>
  <c r="I49" i="64"/>
  <c r="D49" i="64" s="1"/>
  <c r="I48" i="64"/>
  <c r="D48" i="64" s="1"/>
  <c r="I47" i="64"/>
  <c r="D47" i="64" s="1"/>
  <c r="I46" i="64"/>
  <c r="D46" i="64" s="1"/>
  <c r="I45" i="64"/>
  <c r="D45" i="64" s="1"/>
  <c r="I44" i="64"/>
  <c r="D44" i="64" s="1"/>
  <c r="I43" i="64"/>
  <c r="D43" i="64" s="1"/>
  <c r="I42" i="64"/>
  <c r="D42" i="64" s="1"/>
  <c r="I41" i="64"/>
  <c r="D41" i="64" s="1"/>
  <c r="I40" i="64"/>
  <c r="D40" i="64" s="1"/>
  <c r="I39" i="64"/>
  <c r="D39" i="64" s="1"/>
  <c r="I38" i="64"/>
  <c r="D38" i="64" s="1"/>
  <c r="I37" i="64"/>
  <c r="D37" i="64" s="1"/>
  <c r="I36" i="64"/>
  <c r="D36" i="64" s="1"/>
  <c r="I35" i="64"/>
  <c r="D35" i="64" s="1"/>
  <c r="I34" i="64"/>
  <c r="D34" i="64" s="1"/>
  <c r="K33" i="64"/>
  <c r="J33" i="64"/>
  <c r="K32" i="64"/>
  <c r="J32" i="64"/>
  <c r="I31" i="64"/>
  <c r="D31" i="64" s="1"/>
  <c r="I30" i="64"/>
  <c r="D30" i="64" s="1"/>
  <c r="I29" i="64"/>
  <c r="D29" i="64" s="1"/>
  <c r="I28" i="64"/>
  <c r="D28" i="64" s="1"/>
  <c r="I27" i="64"/>
  <c r="D27" i="64" s="1"/>
  <c r="I26" i="64"/>
  <c r="D26" i="64" s="1"/>
  <c r="I25" i="64"/>
  <c r="D25" i="64" s="1"/>
  <c r="I24" i="64"/>
  <c r="D24" i="64" s="1"/>
  <c r="I23" i="64"/>
  <c r="D23" i="64" s="1"/>
  <c r="I22" i="64"/>
  <c r="D22" i="64" s="1"/>
  <c r="I21" i="64"/>
  <c r="D21" i="64" s="1"/>
  <c r="I20" i="64"/>
  <c r="D20" i="64" s="1"/>
  <c r="I19" i="64"/>
  <c r="D19" i="64" s="1"/>
  <c r="I18" i="64"/>
  <c r="D18" i="64"/>
  <c r="I17" i="64"/>
  <c r="D17" i="64" s="1"/>
  <c r="I16" i="64"/>
  <c r="D16" i="64" s="1"/>
  <c r="I15" i="64"/>
  <c r="D15" i="64" s="1"/>
  <c r="I14" i="64"/>
  <c r="D14" i="64" s="1"/>
  <c r="I13" i="64"/>
  <c r="D13" i="64" s="1"/>
  <c r="I12" i="64"/>
  <c r="D12" i="64" s="1"/>
  <c r="I11" i="64"/>
  <c r="D11" i="64" s="1"/>
  <c r="I10" i="64"/>
  <c r="D10" i="64" s="1"/>
  <c r="K124" i="64" l="1"/>
  <c r="I33" i="64"/>
  <c r="D33" i="64" s="1"/>
  <c r="J124" i="64"/>
  <c r="D123" i="64"/>
  <c r="D110" i="64"/>
  <c r="D119" i="64"/>
  <c r="D107" i="64"/>
  <c r="G124" i="64"/>
  <c r="I32" i="64"/>
  <c r="D32" i="64" s="1"/>
  <c r="D124" i="64" s="1"/>
  <c r="I124" i="64" l="1"/>
  <c r="E35" i="25"/>
  <c r="D35" i="25"/>
  <c r="E34" i="25"/>
  <c r="D34" i="25"/>
  <c r="D8" i="25" s="1"/>
  <c r="D5" i="25" s="1"/>
  <c r="I8" i="25"/>
  <c r="I5" i="25" s="1"/>
  <c r="H8" i="25"/>
  <c r="H5" i="25" s="1"/>
  <c r="G8" i="25"/>
  <c r="G5" i="25" s="1"/>
  <c r="F8" i="25"/>
  <c r="F5" i="25" s="1"/>
  <c r="I8" i="19"/>
  <c r="I5" i="19" s="1"/>
  <c r="H8" i="19"/>
  <c r="H5" i="19" s="1"/>
  <c r="G8" i="19"/>
  <c r="G5" i="19" s="1"/>
  <c r="F8" i="19"/>
  <c r="F5" i="19" s="1"/>
  <c r="E8" i="19"/>
  <c r="E5" i="19" s="1"/>
  <c r="D8" i="19"/>
  <c r="D5" i="19" s="1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J146" i="24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J114" i="24"/>
  <c r="G114" i="24"/>
  <c r="J113" i="24"/>
  <c r="G113" i="24"/>
  <c r="J112" i="24"/>
  <c r="G112" i="24"/>
  <c r="J111" i="24"/>
  <c r="G111" i="24"/>
  <c r="J110" i="24"/>
  <c r="G110" i="24"/>
  <c r="J109" i="24"/>
  <c r="G109" i="24"/>
  <c r="J108" i="24"/>
  <c r="G108" i="24"/>
  <c r="J107" i="24"/>
  <c r="G107" i="24"/>
  <c r="J106" i="24"/>
  <c r="G106" i="24"/>
  <c r="J105" i="24"/>
  <c r="G105" i="24"/>
  <c r="J104" i="24"/>
  <c r="G104" i="24"/>
  <c r="J103" i="24"/>
  <c r="G103" i="24"/>
  <c r="J102" i="24"/>
  <c r="G102" i="24"/>
  <c r="J101" i="24"/>
  <c r="G101" i="24"/>
  <c r="J100" i="24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J63" i="24"/>
  <c r="G63" i="24"/>
  <c r="J62" i="24"/>
  <c r="G62" i="24"/>
  <c r="J61" i="24"/>
  <c r="G61" i="24"/>
  <c r="J60" i="24"/>
  <c r="G60" i="24"/>
  <c r="J59" i="24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D36" i="24"/>
  <c r="G36" i="24" s="1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N10" i="24"/>
  <c r="N7" i="24" s="1"/>
  <c r="M10" i="24"/>
  <c r="M7" i="24" s="1"/>
  <c r="L10" i="24"/>
  <c r="L7" i="24" s="1"/>
  <c r="K10" i="24"/>
  <c r="I10" i="24"/>
  <c r="I7" i="24" s="1"/>
  <c r="H10" i="24"/>
  <c r="H7" i="24" s="1"/>
  <c r="F10" i="24"/>
  <c r="F7" i="24" s="1"/>
  <c r="E10" i="24"/>
  <c r="E7" i="24" s="1"/>
  <c r="J9" i="24"/>
  <c r="G9" i="24"/>
  <c r="J8" i="24"/>
  <c r="G8" i="24"/>
  <c r="K7" i="24"/>
  <c r="D108" i="21"/>
  <c r="D105" i="21"/>
  <c r="D104" i="21"/>
  <c r="D102" i="21"/>
  <c r="D46" i="21"/>
  <c r="D41" i="21"/>
  <c r="D36" i="21"/>
  <c r="D35" i="21"/>
  <c r="D31" i="21"/>
  <c r="D21" i="21"/>
  <c r="D19" i="21"/>
  <c r="D16" i="21"/>
  <c r="D15" i="21"/>
  <c r="D12" i="21"/>
  <c r="I9" i="21"/>
  <c r="I6" i="21" s="1"/>
  <c r="H9" i="21"/>
  <c r="H6" i="21" s="1"/>
  <c r="G9" i="21"/>
  <c r="G6" i="21" s="1"/>
  <c r="F9" i="21"/>
  <c r="F6" i="21" s="1"/>
  <c r="E9" i="21"/>
  <c r="E6" i="21" s="1"/>
  <c r="E8" i="25" l="1"/>
  <c r="E5" i="25" s="1"/>
  <c r="D9" i="21"/>
  <c r="D6" i="21" s="1"/>
  <c r="D10" i="24"/>
  <c r="D7" i="24" s="1"/>
  <c r="J10" i="24"/>
  <c r="J7" i="24" s="1"/>
  <c r="G10" i="24"/>
  <c r="G7" i="24" s="1"/>
  <c r="K143" i="62" l="1"/>
  <c r="K145" i="62" s="1"/>
  <c r="J143" i="62"/>
  <c r="J145" i="62" s="1"/>
  <c r="G143" i="62"/>
  <c r="G145" i="62" s="1"/>
  <c r="E143" i="62"/>
  <c r="E145" i="62" s="1"/>
  <c r="D142" i="62"/>
  <c r="D141" i="62"/>
  <c r="D140" i="62"/>
  <c r="D139" i="62"/>
  <c r="D138" i="62"/>
  <c r="D137" i="62"/>
  <c r="D136" i="62"/>
  <c r="D135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M139" i="61"/>
  <c r="O139" i="61" s="1"/>
  <c r="N138" i="61"/>
  <c r="N140" i="61" s="1"/>
  <c r="L138" i="61"/>
  <c r="L140" i="61" s="1"/>
  <c r="K138" i="61"/>
  <c r="K140" i="61" s="1"/>
  <c r="J138" i="61"/>
  <c r="J140" i="61" s="1"/>
  <c r="I138" i="61"/>
  <c r="I140" i="61" s="1"/>
  <c r="H138" i="61"/>
  <c r="H140" i="61" s="1"/>
  <c r="G138" i="61"/>
  <c r="G140" i="61" s="1"/>
  <c r="F138" i="61"/>
  <c r="F140" i="61" s="1"/>
  <c r="O137" i="61"/>
  <c r="O136" i="61"/>
  <c r="O135" i="61"/>
  <c r="O134" i="61"/>
  <c r="O131" i="61"/>
  <c r="O125" i="61"/>
  <c r="O124" i="61"/>
  <c r="O119" i="61"/>
  <c r="O116" i="61"/>
  <c r="O115" i="61"/>
  <c r="O113" i="61"/>
  <c r="O110" i="61"/>
  <c r="O107" i="61"/>
  <c r="O104" i="61"/>
  <c r="O100" i="61"/>
  <c r="O95" i="61"/>
  <c r="O92" i="61"/>
  <c r="O91" i="61"/>
  <c r="O89" i="61"/>
  <c r="O86" i="61"/>
  <c r="O83" i="61"/>
  <c r="O80" i="61"/>
  <c r="O77" i="61"/>
  <c r="O76" i="61"/>
  <c r="O71" i="61"/>
  <c r="O68" i="61"/>
  <c r="O67" i="61"/>
  <c r="O65" i="61"/>
  <c r="O62" i="61"/>
  <c r="O59" i="61"/>
  <c r="O58" i="61"/>
  <c r="O57" i="61"/>
  <c r="O56" i="61"/>
  <c r="O55" i="61"/>
  <c r="O54" i="61"/>
  <c r="O53" i="61"/>
  <c r="O52" i="61"/>
  <c r="O51" i="61"/>
  <c r="O50" i="61"/>
  <c r="O49" i="61"/>
  <c r="O48" i="61"/>
  <c r="O47" i="61"/>
  <c r="O46" i="61"/>
  <c r="O45" i="61"/>
  <c r="O44" i="61"/>
  <c r="O43" i="61"/>
  <c r="O42" i="61"/>
  <c r="O41" i="61"/>
  <c r="O40" i="61"/>
  <c r="O39" i="61"/>
  <c r="O38" i="61"/>
  <c r="O37" i="61"/>
  <c r="O36" i="61"/>
  <c r="O35" i="61"/>
  <c r="O34" i="61"/>
  <c r="O33" i="61"/>
  <c r="O32" i="61"/>
  <c r="O31" i="61"/>
  <c r="O30" i="61"/>
  <c r="O29" i="61"/>
  <c r="O28" i="61"/>
  <c r="O27" i="61"/>
  <c r="O26" i="61"/>
  <c r="O25" i="61"/>
  <c r="O24" i="61"/>
  <c r="O23" i="61"/>
  <c r="O22" i="61"/>
  <c r="O21" i="61"/>
  <c r="O20" i="61"/>
  <c r="O19" i="61"/>
  <c r="O18" i="61"/>
  <c r="O17" i="61"/>
  <c r="O16" i="61"/>
  <c r="O15" i="61"/>
  <c r="O14" i="61"/>
  <c r="O13" i="61"/>
  <c r="O12" i="61"/>
  <c r="O11" i="61"/>
  <c r="O10" i="61"/>
  <c r="O9" i="61"/>
  <c r="O8" i="61"/>
  <c r="O7" i="61"/>
  <c r="O6" i="61"/>
  <c r="O5" i="61"/>
  <c r="O123" i="61" l="1"/>
  <c r="O75" i="61"/>
  <c r="O114" i="61"/>
  <c r="O66" i="61"/>
  <c r="O90" i="61"/>
  <c r="O70" i="61"/>
  <c r="O69" i="61" s="1"/>
  <c r="O73" i="61"/>
  <c r="O97" i="61"/>
  <c r="O118" i="61"/>
  <c r="O117" i="61" s="1"/>
  <c r="O94" i="61"/>
  <c r="O93" i="61" s="1"/>
  <c r="O121" i="61"/>
  <c r="O74" i="61"/>
  <c r="O79" i="61"/>
  <c r="O78" i="61" s="1"/>
  <c r="E138" i="61"/>
  <c r="E140" i="61" s="1"/>
  <c r="O98" i="61"/>
  <c r="O103" i="61"/>
  <c r="O102" i="61" s="1"/>
  <c r="O122" i="61"/>
  <c r="O127" i="61"/>
  <c r="O61" i="61"/>
  <c r="O60" i="61" s="1"/>
  <c r="O85" i="61"/>
  <c r="O84" i="61" s="1"/>
  <c r="O101" i="61"/>
  <c r="O99" i="61" s="1"/>
  <c r="O109" i="61"/>
  <c r="O108" i="61" s="1"/>
  <c r="O128" i="61"/>
  <c r="O133" i="61"/>
  <c r="O132" i="61" s="1"/>
  <c r="O120" i="61" l="1"/>
  <c r="O96" i="61"/>
  <c r="O130" i="61"/>
  <c r="O129" i="61" s="1"/>
  <c r="O126" i="61"/>
  <c r="O88" i="61"/>
  <c r="O87" i="61" s="1"/>
  <c r="O72" i="61"/>
  <c r="O82" i="61"/>
  <c r="O81" i="61" s="1"/>
  <c r="O106" i="61"/>
  <c r="O105" i="61" s="1"/>
  <c r="O64" i="61"/>
  <c r="O63" i="61" s="1"/>
  <c r="O112" i="61"/>
  <c r="O111" i="61" s="1"/>
  <c r="O138" i="61" l="1"/>
  <c r="O140" i="61" s="1"/>
  <c r="M138" i="61"/>
  <c r="M140" i="61" s="1"/>
  <c r="C92" i="60"/>
  <c r="C91" i="60"/>
  <c r="C89" i="60"/>
  <c r="C87" i="60"/>
  <c r="C86" i="60"/>
  <c r="C84" i="60"/>
  <c r="C83" i="60"/>
  <c r="C81" i="60"/>
  <c r="C80" i="60"/>
  <c r="C79" i="60"/>
  <c r="C78" i="60"/>
  <c r="C77" i="60"/>
  <c r="C75" i="60"/>
  <c r="C74" i="60"/>
  <c r="C72" i="60"/>
  <c r="C71" i="60"/>
  <c r="C70" i="60"/>
  <c r="C69" i="60"/>
  <c r="C68" i="60"/>
  <c r="C67" i="60"/>
  <c r="C66" i="60"/>
  <c r="C65" i="60"/>
  <c r="C64" i="60"/>
  <c r="C63" i="60"/>
  <c r="C62" i="60"/>
  <c r="C61" i="60"/>
  <c r="C60" i="60"/>
  <c r="C59" i="60"/>
  <c r="C58" i="60"/>
  <c r="C57" i="60"/>
  <c r="C56" i="60"/>
  <c r="C54" i="60"/>
  <c r="C52" i="60"/>
  <c r="C51" i="60"/>
  <c r="C50" i="60"/>
  <c r="C49" i="60"/>
  <c r="C48" i="60"/>
  <c r="C46" i="60"/>
  <c r="C45" i="60"/>
  <c r="C44" i="60"/>
  <c r="C42" i="60"/>
  <c r="C41" i="60"/>
  <c r="C40" i="60"/>
  <c r="C38" i="60"/>
  <c r="C37" i="60"/>
  <c r="C36" i="60"/>
  <c r="C35" i="60"/>
  <c r="C34" i="60"/>
  <c r="C33" i="60"/>
  <c r="C32" i="60"/>
  <c r="C30" i="60"/>
  <c r="C29" i="60"/>
  <c r="C27" i="60"/>
  <c r="C26" i="60"/>
  <c r="C25" i="60"/>
  <c r="C24" i="60"/>
  <c r="C23" i="60"/>
  <c r="C22" i="60"/>
  <c r="C20" i="60"/>
  <c r="C19" i="60"/>
  <c r="C17" i="60"/>
  <c r="C15" i="60"/>
  <c r="C13" i="60"/>
  <c r="C12" i="60"/>
  <c r="C10" i="60"/>
  <c r="C8" i="60"/>
  <c r="C7" i="60"/>
  <c r="M93" i="60" l="1"/>
  <c r="N93" i="60"/>
  <c r="AD93" i="60"/>
  <c r="O93" i="60"/>
  <c r="W93" i="60"/>
  <c r="L93" i="60"/>
  <c r="T93" i="60"/>
  <c r="AB93" i="60"/>
  <c r="AE93" i="60"/>
  <c r="E93" i="60"/>
  <c r="I93" i="60"/>
  <c r="Q93" i="60"/>
  <c r="Y93" i="60"/>
  <c r="AF93" i="60"/>
  <c r="J93" i="60"/>
  <c r="R93" i="60"/>
  <c r="Z93" i="60"/>
  <c r="U93" i="60"/>
  <c r="S93" i="60"/>
  <c r="F93" i="60"/>
  <c r="V93" i="60"/>
  <c r="P93" i="60"/>
  <c r="X93" i="60"/>
  <c r="K93" i="60"/>
  <c r="AA93" i="60"/>
  <c r="AC93" i="60"/>
  <c r="AH93" i="60"/>
  <c r="D93" i="60"/>
  <c r="H93" i="60"/>
  <c r="G93" i="60" l="1"/>
  <c r="AG93" i="60"/>
  <c r="AI93" i="60"/>
  <c r="D98" i="13" l="1"/>
  <c r="E98" i="13"/>
  <c r="F98" i="13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O25" i="56" l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O23" i="56"/>
  <c r="K23" i="56" s="1"/>
  <c r="D23" i="56" s="1"/>
  <c r="O22" i="56"/>
  <c r="O21" i="56"/>
  <c r="K21" i="56" s="1"/>
  <c r="D21" i="56" s="1"/>
  <c r="T20" i="56"/>
  <c r="S24" i="56"/>
  <c r="E20" i="56"/>
  <c r="E24" i="56" s="1"/>
  <c r="E26" i="56" s="1"/>
  <c r="O19" i="56"/>
  <c r="O18" i="56"/>
  <c r="K18" i="56" s="1"/>
  <c r="O17" i="56"/>
  <c r="K17" i="56" s="1"/>
  <c r="D17" i="56" s="1"/>
  <c r="O16" i="56"/>
  <c r="K16" i="56" s="1"/>
  <c r="J16" i="56"/>
  <c r="O15" i="56"/>
  <c r="K15" i="56" s="1"/>
  <c r="D15" i="56" s="1"/>
  <c r="O14" i="56"/>
  <c r="K14" i="56" s="1"/>
  <c r="D14" i="56" s="1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T8" i="56"/>
  <c r="N8" i="56"/>
  <c r="J8" i="56"/>
  <c r="G8" i="56"/>
  <c r="O9" i="56" l="1"/>
  <c r="K9" i="56" s="1"/>
  <c r="D9" i="56" s="1"/>
  <c r="T24" i="56"/>
  <c r="T26" i="56" s="1"/>
  <c r="D16" i="56"/>
  <c r="J24" i="56"/>
  <c r="J26" i="56" s="1"/>
  <c r="Q24" i="56"/>
  <c r="Q26" i="56" s="1"/>
  <c r="O20" i="56"/>
  <c r="K20" i="56" s="1"/>
  <c r="D20" i="56" s="1"/>
  <c r="O8" i="56"/>
  <c r="K8" i="56" s="1"/>
  <c r="D8" i="56" s="1"/>
  <c r="D18" i="56"/>
  <c r="K19" i="56"/>
  <c r="D19" i="56" s="1"/>
  <c r="K22" i="56"/>
  <c r="D22" i="56" s="1"/>
  <c r="G24" i="56"/>
  <c r="G26" i="56" s="1"/>
  <c r="I24" i="56"/>
  <c r="I26" i="56" s="1"/>
  <c r="G8" i="31"/>
  <c r="D7" i="31"/>
  <c r="O24" i="56" l="1"/>
  <c r="O26" i="56" s="1"/>
  <c r="D24" i="56"/>
  <c r="D26" i="56" s="1"/>
  <c r="K24" i="56"/>
  <c r="K26" i="56" s="1"/>
  <c r="E6" i="44" l="1"/>
  <c r="E4" i="44" s="1"/>
  <c r="D6" i="44"/>
  <c r="D4" i="44" s="1"/>
  <c r="H28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M6" i="30" l="1"/>
  <c r="M28" i="30"/>
  <c r="L7" i="30"/>
  <c r="Q6" i="35" l="1"/>
  <c r="P6" i="35"/>
  <c r="O6" i="35"/>
  <c r="N6" i="35"/>
  <c r="M6" i="35"/>
  <c r="K6" i="35"/>
  <c r="I6" i="35"/>
  <c r="H6" i="35"/>
  <c r="G6" i="35"/>
  <c r="F6" i="35"/>
  <c r="E6" i="35"/>
  <c r="D6" i="35"/>
  <c r="J24" i="35"/>
  <c r="L24" i="35" s="1"/>
  <c r="S24" i="35" s="1"/>
  <c r="J23" i="35"/>
  <c r="L23" i="35" s="1"/>
  <c r="S23" i="35" s="1"/>
  <c r="J22" i="35"/>
  <c r="L22" i="35" s="1"/>
  <c r="S22" i="35" s="1"/>
  <c r="S7" i="35"/>
  <c r="L6" i="35" l="1"/>
  <c r="J6" i="35"/>
  <c r="R6" i="35"/>
  <c r="S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D5" i="31"/>
  <c r="G7" i="31" l="1"/>
  <c r="G5" i="31" s="1"/>
  <c r="H52" i="30" l="1"/>
  <c r="H51" i="30"/>
  <c r="H50" i="30"/>
  <c r="H49" i="30"/>
  <c r="H48" i="30"/>
  <c r="H47" i="30"/>
  <c r="M47" i="30" s="1"/>
  <c r="H46" i="30"/>
  <c r="H45" i="30"/>
  <c r="M45" i="30" s="1"/>
  <c r="H44" i="30"/>
  <c r="H43" i="30"/>
  <c r="M43" i="30" s="1"/>
  <c r="M42" i="30"/>
  <c r="H41" i="30"/>
  <c r="M40" i="30"/>
  <c r="H39" i="30"/>
  <c r="H38" i="30"/>
  <c r="H37" i="30"/>
  <c r="H36" i="30"/>
  <c r="H35" i="30"/>
  <c r="H34" i="30"/>
  <c r="H33" i="30"/>
  <c r="H32" i="30"/>
  <c r="H31" i="30"/>
  <c r="H30" i="30"/>
  <c r="H29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M15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M52" i="30" l="1"/>
  <c r="M14" i="30"/>
  <c r="M19" i="30"/>
  <c r="M36" i="30"/>
  <c r="M20" i="30"/>
  <c r="M24" i="30"/>
  <c r="M29" i="30"/>
  <c r="M51" i="30"/>
  <c r="M18" i="30"/>
  <c r="M22" i="30"/>
  <c r="M35" i="30"/>
  <c r="K5" i="30"/>
  <c r="M12" i="30"/>
  <c r="M25" i="30"/>
  <c r="M33" i="30"/>
  <c r="M9" i="30"/>
  <c r="M13" i="30"/>
  <c r="M30" i="30"/>
  <c r="M39" i="30"/>
  <c r="M23" i="30"/>
  <c r="G5" i="30"/>
  <c r="M48" i="30"/>
  <c r="M46" i="30"/>
  <c r="M11" i="30"/>
  <c r="M16" i="30"/>
  <c r="M37" i="30"/>
  <c r="M41" i="30"/>
  <c r="E5" i="30"/>
  <c r="M27" i="30"/>
  <c r="M50" i="30"/>
  <c r="F5" i="30"/>
  <c r="M17" i="30"/>
  <c r="M26" i="30"/>
  <c r="M32" i="30"/>
  <c r="M34" i="30"/>
  <c r="M49" i="30"/>
  <c r="D5" i="30"/>
  <c r="J5" i="30"/>
  <c r="M10" i="30"/>
  <c r="M21" i="30"/>
  <c r="M31" i="30"/>
  <c r="M38" i="30"/>
  <c r="M44" i="30"/>
  <c r="H7" i="30"/>
  <c r="M8" i="30"/>
  <c r="I5" i="30"/>
  <c r="H5" i="30" l="1"/>
  <c r="L5" i="30"/>
  <c r="M7" i="30"/>
  <c r="M5" i="30" l="1"/>
  <c r="C8" i="27"/>
  <c r="B8" i="27"/>
  <c r="D7" i="27"/>
  <c r="D6" i="27"/>
  <c r="D5" i="27"/>
  <c r="D8" i="27" l="1"/>
  <c r="E22" i="12" l="1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L8" i="5" l="1"/>
  <c r="K8" i="5"/>
  <c r="I8" i="5"/>
  <c r="H8" i="5"/>
  <c r="G8" i="5" l="1"/>
  <c r="J8" i="5"/>
  <c r="J28" i="5" l="1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24" i="5" l="1"/>
  <c r="D9" i="5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</calcChain>
</file>

<file path=xl/sharedStrings.xml><?xml version="1.0" encoding="utf-8"?>
<sst xmlns="http://schemas.openxmlformats.org/spreadsheetml/2006/main" count="5999" uniqueCount="822">
  <si>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</si>
  <si>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</si>
  <si>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</si>
  <si>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</si>
  <si>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</si>
  <si>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</si>
  <si>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</si>
  <si>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</si>
  <si>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</si>
  <si>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</si>
  <si>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</si>
  <si>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</si>
  <si>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</si>
  <si>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</si>
  <si>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</si>
  <si>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</si>
  <si>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</si>
  <si>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</si>
  <si>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</si>
  <si>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</si>
  <si>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</si>
  <si>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</si>
  <si>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</si>
  <si>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</si>
  <si>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</si>
  <si>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</si>
  <si>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</si>
  <si>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</si>
  <si>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</si>
  <si>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</si>
  <si>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</si>
  <si>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</si>
  <si>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</si>
  <si>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</si>
  <si>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</si>
  <si>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</si>
  <si>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</si>
  <si>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</si>
  <si>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</si>
  <si>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</si>
  <si>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</si>
  <si>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</si>
  <si>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</si>
  <si>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</si>
  <si>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</si>
  <si>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</si>
  <si>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</si>
  <si>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</si>
  <si>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</si>
  <si>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</si>
  <si>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</si>
  <si>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</si>
  <si>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</si>
  <si>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</si>
  <si>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</si>
  <si>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</si>
  <si>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</si>
  <si>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</si>
  <si>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</si>
  <si>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</si>
  <si>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</si>
  <si>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</si>
  <si>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</si>
  <si>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</si>
  <si>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</si>
  <si>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</si>
  <si>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</si>
  <si>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</si>
  <si>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</si>
  <si>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</si>
  <si>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</si>
  <si>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</si>
  <si>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</si>
  <si>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</si>
  <si>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</si>
  <si>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</si>
  <si>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</si>
  <si>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</si>
  <si>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</si>
  <si>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</si>
  <si>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</si>
  <si>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</si>
  <si>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</si>
  <si>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</si>
  <si>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</si>
  <si>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</si>
  <si>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</si>
  <si>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</si>
  <si>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</si>
  <si>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</si>
  <si>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</si>
  <si>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</si>
  <si>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</si>
  <si>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</si>
  <si>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</si>
  <si>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</si>
  <si>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</si>
  <si>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</si>
  <si>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</si>
  <si>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</si>
  <si>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</si>
  <si>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</si>
  <si>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</si>
  <si>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</si>
  <si>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</si>
  <si>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</si>
  <si>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</si>
  <si>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</si>
  <si>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</si>
  <si>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</si>
  <si>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</si>
  <si>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</si>
  <si>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</si>
  <si>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</si>
  <si>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</si>
  <si>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</si>
  <si>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</si>
  <si>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</si>
  <si>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</si>
  <si>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</si>
  <si>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</si>
  <si>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</si>
  <si>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</si>
  <si>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</si>
  <si>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</si>
  <si>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</si>
  <si>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</si>
  <si>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</si>
  <si>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</si>
  <si>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</si>
  <si>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</si>
  <si>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</si>
  <si>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</si>
  <si>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</si>
  <si>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</si>
  <si>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</si>
  <si>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</si>
  <si>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</si>
  <si>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</si>
  <si>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</si>
  <si>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</si>
  <si>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</si>
  <si>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</si>
  <si>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</si>
  <si>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</si>
  <si>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</si>
  <si>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</si>
  <si>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</si>
  <si>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</si>
  <si>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</si>
  <si>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</si>
  <si>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</si>
  <si>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</si>
  <si>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</si>
  <si>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</si>
  <si>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</si>
  <si>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</si>
  <si>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</si>
  <si>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</si>
  <si>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</si>
  <si>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</si>
  <si>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</si>
  <si>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</si>
  <si>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</si>
  <si>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</si>
  <si>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</si>
  <si>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</si>
  <si>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</si>
  <si>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</si>
  <si>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</si>
  <si>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</si>
  <si>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</si>
  <si>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</si>
  <si>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</si>
  <si>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</si>
  <si>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</si>
  <si>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</si>
  <si>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</si>
  <si>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</si>
  <si>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</si>
  <si>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</si>
  <si>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</si>
  <si>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</si>
  <si>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</si>
  <si>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</si>
  <si>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</si>
  <si>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</si>
  <si>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</si>
  <si>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</si>
  <si>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</si>
  <si>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</si>
  <si>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</si>
  <si>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</si>
  <si>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</si>
  <si>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</si>
  <si>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</si>
  <si>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</si>
  <si>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</si>
  <si>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</si>
  <si>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</si>
  <si>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</si>
  <si>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</si>
  <si>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</si>
  <si>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</si>
  <si>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</si>
  <si>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</si>
  <si>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</si>
  <si>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</si>
  <si>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</si>
  <si>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</si>
  <si>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</si>
  <si>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</si>
  <si>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</si>
  <si>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</si>
  <si>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</si>
  <si>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</si>
  <si>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</si>
  <si>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</si>
  <si>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</si>
  <si>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</si>
  <si>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</si>
  <si>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</si>
  <si>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</si>
  <si>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</si>
  <si>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</si>
  <si>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</si>
  <si>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</si>
  <si>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</si>
  <si>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</si>
  <si>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</si>
  <si>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</si>
  <si>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</si>
  <si>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</si>
  <si>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</si>
  <si>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</si>
  <si>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</si>
  <si>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</si>
  <si>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</si>
  <si>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</si>
  <si>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</si>
  <si>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</si>
  <si>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</si>
  <si>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</si>
  <si>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</si>
  <si>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</si>
  <si>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</si>
  <si>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</si>
  <si>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</si>
  <si>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</si>
  <si>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</si>
  <si>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</si>
  <si>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</si>
  <si>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</si>
  <si>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</si>
  <si>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</si>
  <si>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</si>
  <si>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</si>
  <si>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</si>
  <si>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</si>
  <si>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</si>
  <si>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</si>
  <si>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</si>
  <si>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</si>
  <si>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</si>
  <si>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</si>
  <si>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</si>
  <si>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</si>
  <si>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</si>
  <si>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</si>
  <si>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</si>
  <si>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</si>
  <si>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</si>
  <si>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</si>
  <si>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</si>
  <si>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</si>
  <si>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</si>
  <si>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</si>
  <si>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</si>
  <si>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</si>
  <si>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</si>
  <si>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</si>
  <si>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</si>
  <si>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</si>
  <si>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</si>
  <si>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</si>
  <si>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</si>
  <si>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</si>
  <si>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</si>
  <si>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</si>
  <si>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</si>
  <si>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</si>
  <si>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</si>
  <si>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</si>
  <si>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</si>
  <si>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</si>
  <si>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</si>
  <si>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</si>
  <si>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</si>
  <si>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</si>
  <si>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</si>
  <si>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</si>
  <si>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</si>
  <si>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</si>
  <si>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</si>
  <si>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</si>
  <si>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</si>
  <si>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</si>
  <si>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</si>
  <si>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</si>
  <si>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</si>
  <si>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</si>
  <si>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</si>
  <si>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</si>
  <si>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</si>
  <si>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</si>
  <si>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</si>
  <si>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</si>
  <si>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</si>
  <si>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</si>
  <si>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</si>
  <si>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</si>
  <si>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</si>
  <si>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</si>
  <si>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</si>
  <si>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</si>
  <si>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</si>
  <si>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</si>
  <si>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</si>
  <si>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</si>
  <si>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</si>
  <si>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</si>
  <si>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</si>
  <si>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</si>
  <si>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</si>
  <si>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</si>
  <si>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</si>
  <si>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</si>
  <si>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</si>
  <si>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</si>
  <si>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</si>
  <si>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</si>
  <si>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</si>
  <si>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</si>
  <si>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</si>
  <si>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</si>
  <si>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</si>
  <si>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</si>
  <si>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</si>
  <si>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</si>
  <si>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</si>
  <si>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</si>
  <si>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</si>
  <si>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</si>
  <si>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</si>
  <si>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</si>
  <si>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</si>
  <si>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</si>
  <si>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</si>
  <si>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</si>
  <si>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</si>
  <si>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</si>
  <si>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</si>
  <si>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</si>
  <si>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</si>
  <si>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</si>
  <si>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</si>
  <si>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</si>
  <si>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</si>
  <si>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</si>
  <si>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</si>
  <si>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</si>
  <si>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</si>
  <si>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</si>
  <si>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</si>
  <si>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</si>
  <si>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</si>
  <si>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</si>
  <si>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</si>
  <si>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</si>
  <si>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</si>
  <si>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</si>
  <si>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</si>
  <si>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</si>
  <si>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</si>
  <si>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</si>
  <si>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</si>
  <si>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</si>
  <si>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</si>
  <si>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</si>
  <si>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</si>
  <si>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</si>
  <si>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</si>
  <si>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</si>
  <si>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</si>
  <si>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</si>
  <si>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</si>
  <si>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</si>
  <si>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</si>
  <si>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</si>
  <si>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</si>
  <si>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</si>
  <si>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</si>
  <si>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</si>
  <si>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</si>
  <si>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</si>
  <si>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</si>
  <si>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</si>
  <si>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</si>
  <si>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</si>
  <si>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</si>
  <si>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</si>
  <si>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</si>
  <si>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</si>
  <si>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</si>
  <si>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</si>
  <si>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</si>
  <si>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</si>
  <si>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</si>
  <si>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</si>
  <si>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</si>
  <si>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</si>
  <si>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</si>
  <si>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</si>
  <si>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</si>
  <si>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</si>
  <si>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</si>
  <si>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</si>
  <si>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</si>
  <si>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</si>
  <si>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</si>
  <si>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</si>
  <si>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</si>
  <si>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</si>
  <si>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</si>
  <si>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</si>
  <si>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</si>
  <si>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</si>
  <si>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</si>
  <si>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</si>
  <si>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</si>
  <si>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</si>
  <si>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</si>
  <si>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</si>
  <si>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</si>
  <si>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</si>
  <si>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</si>
  <si>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</si>
  <si>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</si>
  <si>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</si>
  <si>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</si>
  <si>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</si>
  <si>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</si>
  <si>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</si>
  <si>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</si>
  <si>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</si>
  <si>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</si>
  <si>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</si>
  <si>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</si>
  <si>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</si>
  <si>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</si>
  <si>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</si>
  <si>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</si>
  <si>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</si>
  <si>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</si>
  <si>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</si>
  <si>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</si>
  <si>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</si>
  <si>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</si>
  <si>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</si>
  <si>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</si>
  <si>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</si>
  <si>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</si>
  <si>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</si>
  <si>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</si>
  <si>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</si>
  <si>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</si>
  <si>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</si>
  <si>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</si>
  <si>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</si>
  <si>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</si>
  <si>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</si>
  <si>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</si>
  <si>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</si>
  <si>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</si>
  <si>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</si>
  <si>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</si>
  <si>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</si>
  <si>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</si>
  <si>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</si>
  <si>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</si>
  <si>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</si>
  <si>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</si>
  <si>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</si>
  <si>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</si>
  <si>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</si>
  <si>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</si>
  <si>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</si>
  <si>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</si>
  <si>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</si>
  <si>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</si>
  <si>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</si>
  <si>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</si>
  <si>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</si>
  <si>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</si>
  <si>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</si>
  <si>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</si>
  <si>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</si>
  <si>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</si>
  <si>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</si>
  <si>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</si>
  <si>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</si>
  <si>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</si>
  <si>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</si>
  <si>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</si>
  <si>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</si>
  <si>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</si>
  <si>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</si>
  <si>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</si>
  <si>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</si>
  <si>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</si>
  <si>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</si>
  <si>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</si>
  <si>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</si>
  <si>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</si>
  <si>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</si>
  <si>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</si>
  <si>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</si>
  <si>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</si>
  <si>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</si>
  <si>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</si>
  <si>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</si>
  <si>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</si>
  <si>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</si>
  <si>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</si>
  <si>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</si>
  <si>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</si>
  <si>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</si>
  <si>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</si>
  <si>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</si>
  <si>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</si>
  <si>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</si>
  <si>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</si>
  <si>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</si>
  <si>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</si>
  <si>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</si>
  <si>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</si>
  <si>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</si>
  <si>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</si>
  <si>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</si>
  <si>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</si>
  <si>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</si>
  <si>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</si>
  <si>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</si>
  <si>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</si>
  <si>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</si>
  <si>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</si>
  <si>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</si>
  <si>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</si>
  <si>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</si>
  <si>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</si>
  <si>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</si>
  <si>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</si>
  <si>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</si>
  <si>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</si>
  <si>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</si>
  <si>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</si>
  <si>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</si>
  <si>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</si>
  <si>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</si>
  <si>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</si>
  <si>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</si>
  <si>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</si>
  <si>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</si>
  <si>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</si>
  <si>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</si>
  <si>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</si>
  <si>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</si>
  <si>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</si>
  <si>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</si>
  <si>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</si>
  <si>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</si>
  <si>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</si>
  <si>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</si>
  <si>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</si>
  <si>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</si>
  <si>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</si>
  <si>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</si>
  <si>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</si>
  <si>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</si>
  <si>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</si>
  <si>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</si>
  <si>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</si>
  <si>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</si>
  <si>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</si>
  <si>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</si>
  <si>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</si>
  <si>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</si>
  <si>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</si>
  <si>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</si>
  <si>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</si>
  <si>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</si>
  <si>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</si>
  <si>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</si>
  <si>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</si>
  <si>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</si>
  <si>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</si>
  <si>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</si>
  <si>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</si>
  <si>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</si>
  <si>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</si>
  <si>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</si>
  <si>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</si>
  <si>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</si>
  <si>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</si>
  <si>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</si>
  <si>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</si>
  <si>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</si>
  <si>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</si>
  <si>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</si>
  <si>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</si>
  <si>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</si>
  <si>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</si>
  <si>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</si>
  <si>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</si>
  <si>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</si>
  <si>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</si>
  <si>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</si>
  <si>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</si>
  <si>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</si>
  <si>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</si>
  <si>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</si>
  <si>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</si>
  <si>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</si>
  <si>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</si>
  <si>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</si>
  <si>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</si>
  <si>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</si>
  <si>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</si>
  <si>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</si>
  <si>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</si>
  <si>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</si>
  <si>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</si>
  <si>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</si>
  <si>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</si>
  <si>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</si>
  <si>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</si>
  <si>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</si>
  <si>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</si>
  <si>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</si>
  <si>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</si>
  <si>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</si>
  <si>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</si>
  <si>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</si>
  <si>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</si>
  <si>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</si>
  <si>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</si>
  <si>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</si>
  <si>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</si>
  <si>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</si>
  <si>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</si>
  <si>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</si>
  <si>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</si>
  <si>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</si>
  <si>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</si>
  <si>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</si>
  <si>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</si>
  <si>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</si>
  <si>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</si>
  <si>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</si>
  <si>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</si>
  <si>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</si>
  <si>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</si>
  <si>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</si>
  <si>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</si>
  <si>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</si>
  <si>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</si>
  <si>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</si>
  <si>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</si>
  <si>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</si>
  <si>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</si>
  <si>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</si>
  <si>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</si>
  <si>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</si>
  <si>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</si>
  <si>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</si>
  <si>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</si>
  <si>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</si>
  <si>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</si>
  <si>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</si>
  <si>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</si>
  <si>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</si>
  <si>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</si>
  <si>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</si>
  <si>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</si>
  <si>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</si>
  <si>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</si>
  <si>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</si>
  <si>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</si>
  <si>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</si>
  <si>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</si>
  <si>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</si>
  <si>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</si>
  <si>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</si>
  <si>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</si>
  <si>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</si>
  <si>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</si>
  <si>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</si>
  <si>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</si>
  <si>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</si>
  <si>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</si>
  <si>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</si>
  <si>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</si>
  <si>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</si>
  <si>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</si>
  <si>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</si>
  <si>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</si>
  <si>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</si>
  <si>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</si>
  <si>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</si>
  <si>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</si>
  <si>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</si>
  <si>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</si>
  <si>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</si>
  <si>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</si>
  <si>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</si>
  <si>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</si>
  <si>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</si>
  <si>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</si>
  <si>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</si>
  <si>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</si>
  <si>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</si>
  <si>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</si>
  <si>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</si>
  <si>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</si>
  <si>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</si>
  <si>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</si>
  <si>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</si>
  <si>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</si>
  <si>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</si>
  <si>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</si>
  <si>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</si>
  <si>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</si>
  <si>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</si>
  <si>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</si>
  <si>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</si>
  <si>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</si>
  <si>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</si>
  <si>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</si>
  <si>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</si>
  <si>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</si>
  <si>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</si>
  <si>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</si>
  <si>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</si>
  <si>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</si>
  <si>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</si>
  <si>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</si>
  <si>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</si>
  <si>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 xml:space="preserve"> с 01.01.2023 по 28.02.2023</t>
  </si>
  <si>
    <t xml:space="preserve"> с 01.03.2023 по 30.06.2023</t>
  </si>
  <si>
    <t xml:space="preserve"> с 01.07.2023 по 31.12.2023</t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</si>
  <si>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</si>
  <si>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</si>
  <si>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</si>
  <si>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</si>
  <si>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</si>
  <si>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</si>
  <si>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</si>
  <si>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</si>
  <si>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</si>
  <si>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</si>
  <si>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</si>
  <si>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</si>
  <si>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</si>
  <si>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</si>
  <si>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</si>
  <si>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</si>
  <si>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</si>
  <si>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</si>
  <si>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</si>
  <si>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</si>
  <si>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</si>
  <si>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</si>
  <si>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</si>
  <si>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</si>
  <si>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</si>
  <si>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</si>
  <si>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</si>
  <si>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</si>
  <si>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</si>
  <si>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</si>
  <si>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</si>
  <si>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</si>
  <si>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</si>
  <si>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</si>
  <si>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</si>
  <si>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</si>
  <si>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</si>
  <si>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</si>
  <si>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</si>
  <si>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</si>
  <si>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</si>
  <si>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</si>
  <si>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</si>
  <si>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</si>
  <si>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</si>
  <si>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</si>
  <si>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</si>
  <si>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</si>
  <si>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</si>
  <si>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6</t>
  </si>
  <si>
    <t>22120</t>
  </si>
  <si>
    <t>Всего (КСГ+ВМП)</t>
  </si>
  <si>
    <t>ИТОГО (в рамках базовой программы ОМС)</t>
  </si>
  <si>
    <t>1А</t>
  </si>
  <si>
    <t>в амбулаторно-поликлинических условиях</t>
  </si>
  <si>
    <t>ГБУЗ РКНД Минздрава РБ*</t>
  </si>
  <si>
    <t>*ГБУЗ РКНД Минздрава РБ (консультативные посещения и комплексные обращения)</t>
  </si>
  <si>
    <t>ГБУЗ РКПЦ Минздрава РБ*</t>
  </si>
  <si>
    <t>*ГБУЗ РКПЦ Минздрава РБ (консультативные посещения и комплексные обращения)</t>
  </si>
  <si>
    <t>ГБУЗ РБ РД № 3 г.Уфа</t>
  </si>
  <si>
    <t>БФ "Уфимский хоспис"</t>
  </si>
  <si>
    <t>020050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</si>
</sst>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</numFmts>
  <fonts count="1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1362">
    <xf numFmtId="0" fontId="0" fillId="0" borderId="0"/>
    <xf numFmtId="0" fontId="24" fillId="0" borderId="0"/>
    <xf numFmtId="0" fontId="24" fillId="0" borderId="0"/>
    <xf numFmtId="0" fontId="42" fillId="0" borderId="0"/>
    <xf numFmtId="0" fontId="44" fillId="0" borderId="0"/>
    <xf numFmtId="0" fontId="46" fillId="28" borderId="0" applyNumberFormat="0" applyBorder="0" applyAlignment="0" applyProtection="0"/>
    <xf numFmtId="0" fontId="46" fillId="29" borderId="0"/>
    <xf numFmtId="0" fontId="46" fillId="28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/>
    <xf numFmtId="0" fontId="46" fillId="30" borderId="0" applyNumberFormat="0" applyBorder="0" applyAlignment="0" applyProtection="0"/>
    <xf numFmtId="0" fontId="46" fillId="32" borderId="0" applyNumberFormat="0" applyBorder="0" applyAlignment="0" applyProtection="0"/>
    <xf numFmtId="0" fontId="46" fillId="33" borderId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46" fillId="35" borderId="0"/>
    <xf numFmtId="0" fontId="46" fillId="34" borderId="0" applyNumberFormat="0" applyBorder="0" applyAlignment="0" applyProtection="0"/>
    <xf numFmtId="0" fontId="46" fillId="36" borderId="0" applyNumberFormat="0" applyBorder="0" applyAlignment="0" applyProtection="0"/>
    <xf numFmtId="0" fontId="46" fillId="37" borderId="0"/>
    <xf numFmtId="0" fontId="46" fillId="36" borderId="0" applyNumberFormat="0" applyBorder="0" applyAlignment="0" applyProtection="0"/>
    <xf numFmtId="0" fontId="46" fillId="38" borderId="0" applyNumberFormat="0" applyBorder="0" applyAlignment="0" applyProtection="0"/>
    <xf numFmtId="0" fontId="46" fillId="39" borderId="0"/>
    <xf numFmtId="0" fontId="46" fillId="3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40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9" borderId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46" fillId="28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1" borderId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46" fillId="3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6" fillId="4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6" fillId="33" borderId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46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6" fillId="4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6" fillId="35" borderId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46" fillId="3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6" fillId="36" borderId="0" applyNumberFormat="0" applyBorder="0" applyAlignment="0" applyProtection="0"/>
    <xf numFmtId="0" fontId="46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6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6" fillId="37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46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6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6" fillId="39" borderId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6" fillId="38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6" fillId="42" borderId="0" applyNumberFormat="0" applyBorder="0" applyAlignment="0" applyProtection="0"/>
    <xf numFmtId="0" fontId="46" fillId="43" borderId="0"/>
    <xf numFmtId="0" fontId="46" fillId="42" borderId="0" applyNumberFormat="0" applyBorder="0" applyAlignment="0" applyProtection="0"/>
    <xf numFmtId="0" fontId="46" fillId="44" borderId="0" applyNumberFormat="0" applyBorder="0" applyAlignment="0" applyProtection="0"/>
    <xf numFmtId="0" fontId="46" fillId="45" borderId="0"/>
    <xf numFmtId="0" fontId="46" fillId="44" borderId="0" applyNumberFormat="0" applyBorder="0" applyAlignment="0" applyProtection="0"/>
    <xf numFmtId="0" fontId="46" fillId="46" borderId="0" applyNumberFormat="0" applyBorder="0" applyAlignment="0" applyProtection="0"/>
    <xf numFmtId="0" fontId="46" fillId="47" borderId="0"/>
    <xf numFmtId="0" fontId="46" fillId="46" borderId="0" applyNumberFormat="0" applyBorder="0" applyAlignment="0" applyProtection="0"/>
    <xf numFmtId="0" fontId="46" fillId="34" borderId="0" applyNumberFormat="0" applyBorder="0" applyAlignment="0" applyProtection="0"/>
    <xf numFmtId="0" fontId="46" fillId="35" borderId="0"/>
    <xf numFmtId="0" fontId="46" fillId="34" borderId="0" applyNumberFormat="0" applyBorder="0" applyAlignment="0" applyProtection="0"/>
    <xf numFmtId="0" fontId="46" fillId="42" borderId="0" applyNumberFormat="0" applyBorder="0" applyAlignment="0" applyProtection="0"/>
    <xf numFmtId="0" fontId="46" fillId="43" borderId="0"/>
    <xf numFmtId="0" fontId="46" fillId="42" borderId="0" applyNumberFormat="0" applyBorder="0" applyAlignment="0" applyProtection="0"/>
    <xf numFmtId="0" fontId="46" fillId="48" borderId="0" applyNumberFormat="0" applyBorder="0" applyAlignment="0" applyProtection="0"/>
    <xf numFmtId="0" fontId="46" fillId="49" borderId="0"/>
    <xf numFmtId="0" fontId="46" fillId="48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50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43" borderId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6" fillId="42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45" borderId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6" fillId="4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6" fillId="5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6" fillId="47" borderId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6" fillId="4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6" fillId="5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6" fillId="35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6" fillId="3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6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6" fillId="43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6" fillId="4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6" fillId="3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6" fillId="49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6" fillId="48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/>
    <xf numFmtId="0" fontId="47" fillId="44" borderId="0" applyNumberFormat="0" applyBorder="0" applyAlignment="0" applyProtection="0"/>
    <xf numFmtId="0" fontId="47" fillId="45" borderId="0"/>
    <xf numFmtId="0" fontId="47" fillId="46" borderId="0" applyNumberFormat="0" applyBorder="0" applyAlignment="0" applyProtection="0"/>
    <xf numFmtId="0" fontId="47" fillId="47" borderId="0"/>
    <xf numFmtId="0" fontId="47" fillId="54" borderId="0" applyNumberFormat="0" applyBorder="0" applyAlignment="0" applyProtection="0"/>
    <xf numFmtId="0" fontId="47" fillId="55" borderId="0"/>
    <xf numFmtId="0" fontId="47" fillId="56" borderId="0" applyNumberFormat="0" applyBorder="0" applyAlignment="0" applyProtection="0"/>
    <xf numFmtId="0" fontId="47" fillId="57" borderId="0"/>
    <xf numFmtId="0" fontId="47" fillId="58" borderId="0" applyNumberFormat="0" applyBorder="0" applyAlignment="0" applyProtection="0"/>
    <xf numFmtId="0" fontId="47" fillId="59" borderId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31" fillId="7" borderId="0" applyNumberFormat="0" applyBorder="0" applyAlignment="0" applyProtection="0"/>
    <xf numFmtId="0" fontId="47" fillId="52" borderId="0" applyNumberFormat="0" applyBorder="0" applyAlignment="0" applyProtection="0"/>
    <xf numFmtId="0" fontId="47" fillId="52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47" fillId="5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47" fillId="53" borderId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31" fillId="11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47" fillId="44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47" fillId="45" borderId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31" fillId="15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47" fillId="5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47" fillId="47" borderId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31" fillId="19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47" fillId="5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47" fillId="55" borderId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31" fillId="23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47" fillId="56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47" fillId="57" borderId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1" fillId="27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47" fillId="3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47" fillId="59" borderId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47" fillId="60" borderId="0" applyNumberFormat="0" applyBorder="0" applyAlignment="0" applyProtection="0"/>
    <xf numFmtId="0" fontId="47" fillId="61" borderId="0"/>
    <xf numFmtId="0" fontId="47" fillId="62" borderId="0" applyNumberFormat="0" applyBorder="0" applyAlignment="0" applyProtection="0"/>
    <xf numFmtId="0" fontId="47" fillId="63" borderId="0"/>
    <xf numFmtId="0" fontId="47" fillId="64" borderId="0" applyNumberFormat="0" applyBorder="0" applyAlignment="0" applyProtection="0"/>
    <xf numFmtId="0" fontId="47" fillId="65" borderId="0"/>
    <xf numFmtId="0" fontId="47" fillId="54" borderId="0" applyNumberFormat="0" applyBorder="0" applyAlignment="0" applyProtection="0"/>
    <xf numFmtId="0" fontId="47" fillId="55" borderId="0"/>
    <xf numFmtId="0" fontId="47" fillId="56" borderId="0" applyNumberFormat="0" applyBorder="0" applyAlignment="0" applyProtection="0"/>
    <xf numFmtId="0" fontId="47" fillId="57" borderId="0"/>
    <xf numFmtId="0" fontId="47" fillId="66" borderId="0" applyNumberFormat="0" applyBorder="0" applyAlignment="0" applyProtection="0"/>
    <xf numFmtId="0" fontId="47" fillId="67" borderId="0"/>
    <xf numFmtId="0" fontId="48" fillId="30" borderId="0" applyNumberFormat="0" applyBorder="0" applyAlignment="0" applyProtection="0"/>
    <xf numFmtId="0" fontId="48" fillId="31" borderId="0"/>
    <xf numFmtId="0" fontId="49" fillId="50" borderId="18" applyNumberFormat="0" applyAlignment="0" applyProtection="0"/>
    <xf numFmtId="0" fontId="49" fillId="68" borderId="18"/>
    <xf numFmtId="0" fontId="50" fillId="69" borderId="19" applyNumberFormat="0" applyAlignment="0" applyProtection="0"/>
    <xf numFmtId="0" fontId="50" fillId="70" borderId="0"/>
    <xf numFmtId="0" fontId="51" fillId="0" borderId="0"/>
    <xf numFmtId="164" fontId="52" fillId="0" borderId="0"/>
    <xf numFmtId="165" fontId="52" fillId="0" borderId="0" applyBorder="0" applyProtection="0"/>
    <xf numFmtId="164" fontId="52" fillId="0" borderId="0" applyBorder="0" applyProtection="0"/>
    <xf numFmtId="164" fontId="52" fillId="0" borderId="0"/>
    <xf numFmtId="0" fontId="53" fillId="0" borderId="0"/>
    <xf numFmtId="0" fontId="53" fillId="0" borderId="0"/>
    <xf numFmtId="0" fontId="54" fillId="0" borderId="0" applyNumberFormat="0" applyFill="0" applyBorder="0" applyAlignment="0" applyProtection="0"/>
    <xf numFmtId="0" fontId="54" fillId="0" borderId="0"/>
    <xf numFmtId="0" fontId="55" fillId="32" borderId="0" applyNumberFormat="0" applyBorder="0" applyAlignment="0" applyProtection="0"/>
    <xf numFmtId="0" fontId="55" fillId="33" borderId="0"/>
    <xf numFmtId="0" fontId="56" fillId="0" borderId="0" applyNumberFormat="0" applyBorder="0" applyProtection="0">
      <alignment horizontal="center"/>
    </xf>
    <xf numFmtId="0" fontId="57" fillId="0" borderId="20" applyNumberFormat="0" applyFill="0" applyAlignment="0" applyProtection="0"/>
    <xf numFmtId="0" fontId="57" fillId="0" borderId="20"/>
    <xf numFmtId="0" fontId="58" fillId="0" borderId="21" applyNumberFormat="0" applyFill="0" applyAlignment="0" applyProtection="0"/>
    <xf numFmtId="0" fontId="58" fillId="0" borderId="21"/>
    <xf numFmtId="0" fontId="59" fillId="0" borderId="22" applyNumberFormat="0" applyFill="0" applyAlignment="0" applyProtection="0"/>
    <xf numFmtId="0" fontId="59" fillId="0" borderId="22"/>
    <xf numFmtId="0" fontId="59" fillId="0" borderId="0" applyNumberFormat="0" applyFill="0" applyBorder="0" applyAlignment="0" applyProtection="0"/>
    <xf numFmtId="0" fontId="59" fillId="0" borderId="0"/>
    <xf numFmtId="0" fontId="56" fillId="0" borderId="0" applyNumberFormat="0" applyBorder="0" applyProtection="0">
      <alignment horizontal="center" textRotation="90"/>
    </xf>
    <xf numFmtId="0" fontId="60" fillId="38" borderId="18" applyNumberFormat="0" applyAlignment="0" applyProtection="0"/>
    <xf numFmtId="0" fontId="60" fillId="39" borderId="18"/>
    <xf numFmtId="0" fontId="61" fillId="0" borderId="23" applyNumberFormat="0" applyFill="0" applyAlignment="0" applyProtection="0"/>
    <xf numFmtId="0" fontId="61" fillId="0" borderId="0"/>
    <xf numFmtId="0" fontId="62" fillId="51" borderId="0" applyNumberFormat="0" applyBorder="0" applyAlignment="0" applyProtection="0"/>
    <xf numFmtId="0" fontId="62" fillId="71" borderId="0"/>
    <xf numFmtId="0" fontId="63" fillId="0" borderId="0"/>
    <xf numFmtId="0" fontId="44" fillId="41" borderId="24" applyNumberFormat="0" applyFont="0" applyAlignment="0" applyProtection="0"/>
    <xf numFmtId="0" fontId="51" fillId="72" borderId="24"/>
    <xf numFmtId="0" fontId="64" fillId="50" borderId="25" applyNumberFormat="0" applyAlignment="0" applyProtection="0"/>
    <xf numFmtId="0" fontId="64" fillId="68" borderId="25"/>
    <xf numFmtId="0" fontId="65" fillId="0" borderId="0" applyNumberFormat="0" applyBorder="0" applyProtection="0"/>
    <xf numFmtId="166" fontId="65" fillId="0" borderId="0" applyBorder="0" applyProtection="0"/>
    <xf numFmtId="0" fontId="66" fillId="0" borderId="0" applyNumberFormat="0" applyFill="0" applyBorder="0" applyAlignment="0" applyProtection="0"/>
    <xf numFmtId="0" fontId="66" fillId="0" borderId="0"/>
    <xf numFmtId="0" fontId="67" fillId="0" borderId="26" applyNumberFormat="0" applyFill="0" applyAlignment="0" applyProtection="0"/>
    <xf numFmtId="0" fontId="67" fillId="0" borderId="27"/>
    <xf numFmtId="0" fontId="68" fillId="0" borderId="0" applyNumberFormat="0" applyFill="0" applyBorder="0" applyAlignment="0" applyProtection="0"/>
    <xf numFmtId="0" fontId="68" fillId="0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31" fillId="4" borderId="0" applyNumberFormat="0" applyBorder="0" applyAlignment="0" applyProtection="0"/>
    <xf numFmtId="0" fontId="47" fillId="60" borderId="0" applyNumberFormat="0" applyBorder="0" applyAlignment="0" applyProtection="0"/>
    <xf numFmtId="0" fontId="47" fillId="60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47" fillId="56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47" fillId="61" borderId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31" fillId="8" borderId="0" applyNumberFormat="0" applyBorder="0" applyAlignment="0" applyProtection="0"/>
    <xf numFmtId="0" fontId="47" fillId="62" borderId="0" applyNumberFormat="0" applyBorder="0" applyAlignment="0" applyProtection="0"/>
    <xf numFmtId="0" fontId="47" fillId="62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47" fillId="62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47" fillId="63" borderId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31" fillId="12" borderId="0" applyNumberFormat="0" applyBorder="0" applyAlignment="0" applyProtection="0"/>
    <xf numFmtId="0" fontId="47" fillId="64" borderId="0" applyNumberFormat="0" applyBorder="0" applyAlignment="0" applyProtection="0"/>
    <xf numFmtId="0" fontId="47" fillId="6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47" fillId="64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47" fillId="65" borderId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31" fillId="16" borderId="0" applyNumberFormat="0" applyBorder="0" applyAlignment="0" applyProtection="0"/>
    <xf numFmtId="0" fontId="47" fillId="54" borderId="0" applyNumberFormat="0" applyBorder="0" applyAlignment="0" applyProtection="0"/>
    <xf numFmtId="0" fontId="47" fillId="54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47" fillId="73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47" fillId="55" borderId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31" fillId="20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47" fillId="5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47" fillId="57" borderId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31" fillId="24" borderId="0" applyNumberFormat="0" applyBorder="0" applyAlignment="0" applyProtection="0"/>
    <xf numFmtId="0" fontId="47" fillId="66" borderId="0" applyNumberFormat="0" applyBorder="0" applyAlignment="0" applyProtection="0"/>
    <xf numFmtId="0" fontId="47" fillId="6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47" fillId="66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47" fillId="67" borderId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28" fillId="2" borderId="4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60" fillId="38" borderId="18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60" fillId="38" borderId="18" applyNumberFormat="0" applyAlignment="0" applyProtection="0"/>
    <xf numFmtId="0" fontId="60" fillId="38" borderId="18" applyNumberFormat="0" applyAlignment="0" applyProtection="0"/>
    <xf numFmtId="0" fontId="60" fillId="39" borderId="18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8" fillId="2" borderId="4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29" fillId="3" borderId="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64" fillId="40" borderId="2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64" fillId="50" borderId="25" applyNumberFormat="0" applyAlignment="0" applyProtection="0"/>
    <xf numFmtId="0" fontId="64" fillId="50" borderId="25" applyNumberFormat="0" applyAlignment="0" applyProtection="0"/>
    <xf numFmtId="0" fontId="64" fillId="68" borderId="25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29" fillId="3" borderId="5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30" fillId="3" borderId="4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49" fillId="40" borderId="18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49" fillId="50" borderId="18" applyNumberFormat="0" applyAlignment="0" applyProtection="0"/>
    <xf numFmtId="0" fontId="49" fillId="50" borderId="18" applyNumberFormat="0" applyAlignment="0" applyProtection="0"/>
    <xf numFmtId="0" fontId="49" fillId="68" borderId="18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30" fillId="3" borderId="4" applyNumberFormat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26" fillId="0" borderId="1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71" fillId="0" borderId="28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57" fillId="0" borderId="2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6" fillId="0" borderId="1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27" fillId="0" borderId="2" applyNumberFormat="0" applyFill="0" applyAlignment="0" applyProtection="0"/>
    <xf numFmtId="0" fontId="58" fillId="0" borderId="21" applyNumberFormat="0" applyFill="0" applyAlignment="0" applyProtection="0"/>
    <xf numFmtId="0" fontId="58" fillId="0" borderId="21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72" fillId="0" borderId="21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58" fillId="0" borderId="21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27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2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73" fillId="0" borderId="3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59" fillId="0" borderId="22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4" fillId="0" borderId="29" applyNumberFormat="0" applyFill="0" applyAlignment="0" applyProtection="0"/>
    <xf numFmtId="0" fontId="59" fillId="0" borderId="22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3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5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4" fillId="0" borderId="0" applyNumberFormat="0" applyFill="0" applyBorder="0" applyAlignment="0" applyProtection="0"/>
    <xf numFmtId="0" fontId="59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44" fillId="0" borderId="0" applyNumberFormat="0" applyFon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75" fillId="0" borderId="9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67" fillId="0" borderId="26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67" fillId="0" borderId="30" applyNumberFormat="0" applyFill="0" applyAlignment="0" applyProtection="0"/>
    <xf numFmtId="0" fontId="67" fillId="0" borderId="27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5" fillId="0" borderId="9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76" fillId="0" borderId="7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50" fillId="69" borderId="19" applyNumberFormat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50" fillId="69" borderId="19" applyNumberFormat="0" applyAlignment="0" applyProtection="0"/>
    <xf numFmtId="0" fontId="50" fillId="70" borderId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77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6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6" fillId="0" borderId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62" fillId="51" borderId="0" applyNumberFormat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2" fillId="51" borderId="0" applyNumberFormat="0" applyBorder="0" applyAlignment="0" applyProtection="0"/>
    <xf numFmtId="0" fontId="62" fillId="71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42" fillId="0" borderId="0"/>
    <xf numFmtId="0" fontId="85" fillId="0" borderId="0"/>
    <xf numFmtId="0" fontId="8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87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8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0" fillId="0" borderId="0"/>
    <xf numFmtId="0" fontId="24" fillId="0" borderId="0"/>
    <xf numFmtId="0" fontId="24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42" fillId="0" borderId="0"/>
    <xf numFmtId="0" fontId="42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42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/>
    <xf numFmtId="0" fontId="25" fillId="0" borderId="0"/>
    <xf numFmtId="0" fontId="8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5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5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88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8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8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6" fillId="0" borderId="0"/>
    <xf numFmtId="0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75" fillId="0" borderId="0"/>
    <xf numFmtId="0" fontId="42" fillId="0" borderId="0"/>
    <xf numFmtId="0" fontId="42" fillId="0" borderId="0"/>
    <xf numFmtId="0" fontId="24" fillId="0" borderId="0"/>
    <xf numFmtId="0" fontId="24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5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9" fillId="0" borderId="0"/>
    <xf numFmtId="0" fontId="87" fillId="0" borderId="0"/>
    <xf numFmtId="0" fontId="24" fillId="0" borderId="0"/>
    <xf numFmtId="0" fontId="80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5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0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5" fillId="0" borderId="0"/>
    <xf numFmtId="0" fontId="42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8" fillId="30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8" fillId="30" borderId="0" applyNumberFormat="0" applyBorder="0" applyAlignment="0" applyProtection="0"/>
    <xf numFmtId="0" fontId="48" fillId="31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41" borderId="24" applyNumberFormat="0" applyFont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41" borderId="24" applyNumberFormat="0" applyFont="0" applyAlignment="0" applyProtection="0"/>
    <xf numFmtId="0" fontId="42" fillId="41" borderId="24" applyNumberFormat="0" applyFont="0" applyAlignment="0" applyProtection="0"/>
    <xf numFmtId="0" fontId="80" fillId="41" borderId="24" applyNumberFormat="0" applyFont="0" applyAlignment="0" applyProtection="0"/>
    <xf numFmtId="0" fontId="44" fillId="41" borderId="24" applyNumberFormat="0" applyFont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0" fontId="44" fillId="0" borderId="8" applyNumberFormat="0" applyFont="0" applyFill="0" applyAlignment="0" applyProtection="0"/>
    <xf numFmtId="9" fontId="2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ill="0" applyBorder="0" applyAlignment="0" applyProtection="0"/>
    <xf numFmtId="9" fontId="8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92" fillId="0" borderId="6" applyNumberFormat="0" applyFill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61" fillId="0" borderId="23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61" fillId="0" borderId="23" applyNumberFormat="0" applyFill="0" applyAlignment="0" applyProtection="0"/>
    <xf numFmtId="0" fontId="61" fillId="0" borderId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2" fillId="0" borderId="6" applyNumberFormat="0" applyFill="0" applyAlignment="0" applyProtection="0"/>
    <xf numFmtId="0" fontId="93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6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67" fontId="25" fillId="0" borderId="0" applyFont="0" applyFill="0" applyBorder="0" applyAlignment="0" applyProtection="0"/>
    <xf numFmtId="43" fontId="87" fillId="0" borderId="0" applyFont="0" applyFill="0" applyBorder="0" applyAlignment="0" applyProtection="0"/>
    <xf numFmtId="167" fontId="4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5" fontId="88" fillId="0" borderId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5" fontId="88" fillId="0" borderId="0"/>
    <xf numFmtId="168" fontId="95" fillId="0" borderId="0"/>
    <xf numFmtId="167" fontId="46" fillId="0" borderId="0" applyFont="0" applyFill="0" applyBorder="0" applyAlignment="0" applyProtection="0"/>
    <xf numFmtId="165" fontId="88" fillId="0" borderId="0"/>
    <xf numFmtId="165" fontId="88" fillId="0" borderId="0" applyFill="0" applyBorder="0" applyAlignment="0" applyProtection="0"/>
    <xf numFmtId="165" fontId="88" fillId="0" borderId="0" applyFill="0" applyBorder="0" applyAlignment="0" applyProtection="0"/>
    <xf numFmtId="165" fontId="88" fillId="0" borderId="0"/>
    <xf numFmtId="169" fontId="80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96" fillId="0" borderId="0" applyNumberForma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44" fillId="0" borderId="0" applyNumberFormat="0" applyFont="0" applyFill="0" applyBorder="0" applyAlignment="0" applyProtection="0"/>
    <xf numFmtId="0" fontId="55" fillId="32" borderId="0" applyNumberFormat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55" fillId="32" borderId="0" applyNumberFormat="0" applyBorder="0" applyAlignment="0" applyProtection="0"/>
    <xf numFmtId="0" fontId="55" fillId="33" borderId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110" fillId="0" borderId="0" applyNumberFormat="0" applyFill="0" applyBorder="0" applyAlignment="0" applyProtection="0"/>
    <xf numFmtId="0" fontId="46" fillId="0" borderId="0" applyFill="0" applyProtection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44" fillId="0" borderId="0"/>
    <xf numFmtId="0" fontId="19" fillId="0" borderId="0"/>
    <xf numFmtId="0" fontId="25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93">
    <xf numFmtId="0" fontId="0" fillId="0" borderId="0" xfId="0"/>
    <xf numFmtId="0" fontId="41" fillId="0" borderId="11" xfId="3" applyFont="1" applyFill="1" applyBorder="1" applyAlignment="1">
      <alignment horizontal="left" vertical="center" wrapText="1"/>
    </xf>
    <xf numFmtId="0" fontId="41" fillId="0" borderId="11" xfId="4" applyFont="1" applyFill="1" applyBorder="1" applyAlignment="1">
      <alignment horizontal="center" vertical="center"/>
    </xf>
    <xf numFmtId="49" fontId="33" fillId="0" borderId="11" xfId="0" applyNumberFormat="1" applyFont="1" applyFill="1" applyBorder="1" applyAlignment="1">
      <alignment horizontal="center" vertical="center"/>
    </xf>
    <xf numFmtId="0" fontId="45" fillId="0" borderId="11" xfId="3" applyFont="1" applyFill="1" applyBorder="1" applyAlignment="1">
      <alignment horizontal="left" vertical="center" wrapText="1"/>
    </xf>
    <xf numFmtId="0" fontId="85" fillId="0" borderId="0" xfId="61293" applyAlignment="1">
      <alignment horizontal="center" vertical="center"/>
    </xf>
    <xf numFmtId="0" fontId="85" fillId="0" borderId="0" xfId="61293" applyAlignment="1">
      <alignment horizontal="center"/>
    </xf>
    <xf numFmtId="0" fontId="85" fillId="0" borderId="0" xfId="61293"/>
    <xf numFmtId="0" fontId="85" fillId="0" borderId="11" xfId="61293" applyBorder="1" applyAlignment="1">
      <alignment horizontal="center" vertical="center"/>
    </xf>
    <xf numFmtId="0" fontId="45" fillId="0" borderId="11" xfId="61293" applyFont="1" applyFill="1" applyBorder="1" applyAlignment="1">
      <alignment vertical="center" wrapText="1"/>
    </xf>
    <xf numFmtId="3" fontId="85" fillId="0" borderId="11" xfId="61293" applyNumberFormat="1" applyFill="1" applyBorder="1" applyAlignment="1">
      <alignment horizontal="center" vertical="center"/>
    </xf>
    <xf numFmtId="3" fontId="85" fillId="0" borderId="11" xfId="61293" applyNumberFormat="1" applyBorder="1" applyAlignment="1">
      <alignment horizontal="center" vertical="center"/>
    </xf>
    <xf numFmtId="3" fontId="85" fillId="0" borderId="0" xfId="61293" applyNumberFormat="1"/>
    <xf numFmtId="0" fontId="45" fillId="0" borderId="11" xfId="61293" applyFont="1" applyBorder="1" applyAlignment="1">
      <alignment vertical="center" wrapText="1"/>
    </xf>
    <xf numFmtId="49" fontId="41" fillId="0" borderId="11" xfId="3" applyNumberFormat="1" applyFont="1" applyBorder="1" applyAlignment="1">
      <alignment horizontal="center" vertical="center"/>
    </xf>
    <xf numFmtId="0" fontId="41" fillId="0" borderId="11" xfId="3" applyFont="1" applyBorder="1" applyAlignment="1">
      <alignment horizontal="left" vertical="center" wrapText="1"/>
    </xf>
    <xf numFmtId="0" fontId="45" fillId="0" borderId="0" xfId="0" applyFont="1" applyFill="1"/>
    <xf numFmtId="0" fontId="103" fillId="0" borderId="0" xfId="0" applyFont="1" applyFill="1" applyAlignment="1">
      <alignment vertical="center"/>
    </xf>
    <xf numFmtId="0" fontId="97" fillId="0" borderId="0" xfId="0" applyFont="1" applyFill="1" applyAlignment="1">
      <alignment horizontal="center" wrapText="1"/>
    </xf>
    <xf numFmtId="0" fontId="45" fillId="0" borderId="0" xfId="0" applyFont="1" applyFill="1" applyAlignment="1">
      <alignment horizontal="justify" vertical="center"/>
    </xf>
    <xf numFmtId="0" fontId="97" fillId="0" borderId="10" xfId="0" applyFont="1" applyFill="1" applyBorder="1" applyAlignment="1">
      <alignment horizontal="center" wrapText="1"/>
    </xf>
    <xf numFmtId="0" fontId="104" fillId="0" borderId="10" xfId="0" applyFont="1" applyFill="1" applyBorder="1" applyAlignment="1">
      <alignment horizontal="right" wrapText="1"/>
    </xf>
    <xf numFmtId="0" fontId="33" fillId="0" borderId="0" xfId="0" applyFont="1" applyFill="1"/>
    <xf numFmtId="0" fontId="33" fillId="0" borderId="0" xfId="0" applyFont="1" applyFill="1" applyBorder="1" applyAlignment="1">
      <alignment horizontal="center"/>
    </xf>
    <xf numFmtId="0" fontId="105" fillId="0" borderId="11" xfId="0" applyFont="1" applyFill="1" applyBorder="1" applyAlignment="1">
      <alignment horizontal="center" vertical="center" wrapText="1"/>
    </xf>
    <xf numFmtId="0" fontId="36" fillId="0" borderId="12" xfId="0" applyFont="1" applyFill="1" applyBorder="1" applyAlignment="1">
      <alignment horizontal="center" vertical="center" wrapText="1"/>
    </xf>
    <xf numFmtId="0" fontId="36" fillId="0" borderId="33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37" fillId="0" borderId="0" xfId="0" applyFont="1" applyFill="1"/>
    <xf numFmtId="3" fontId="37" fillId="0" borderId="0" xfId="0" applyNumberFormat="1" applyFont="1" applyFill="1"/>
    <xf numFmtId="0" fontId="106" fillId="0" borderId="11" xfId="0" applyFont="1" applyFill="1" applyBorder="1" applyAlignment="1">
      <alignment horizontal="center" vertical="center"/>
    </xf>
    <xf numFmtId="3" fontId="105" fillId="0" borderId="11" xfId="0" applyNumberFormat="1" applyFont="1" applyFill="1" applyBorder="1" applyAlignment="1">
      <alignment horizontal="center" vertical="center" wrapText="1"/>
    </xf>
    <xf numFmtId="3" fontId="45" fillId="0" borderId="0" xfId="0" applyNumberFormat="1" applyFont="1" applyFill="1"/>
    <xf numFmtId="49" fontId="104" fillId="0" borderId="11" xfId="3" applyNumberFormat="1" applyFont="1" applyFill="1" applyBorder="1" applyAlignment="1">
      <alignment horizontal="center" vertical="center"/>
    </xf>
    <xf numFmtId="0" fontId="106" fillId="0" borderId="11" xfId="3" applyFont="1" applyFill="1" applyBorder="1" applyAlignment="1">
      <alignment horizontal="left" vertical="center" wrapText="1"/>
    </xf>
    <xf numFmtId="0" fontId="106" fillId="0" borderId="0" xfId="0" applyFont="1" applyFill="1" applyBorder="1" applyAlignment="1">
      <alignment horizontal="center" vertical="center"/>
    </xf>
    <xf numFmtId="49" fontId="85" fillId="0" borderId="11" xfId="61293" applyNumberFormat="1" applyBorder="1" applyAlignment="1">
      <alignment horizontal="center"/>
    </xf>
    <xf numFmtId="0" fontId="107" fillId="0" borderId="11" xfId="61293" applyFont="1" applyBorder="1" applyAlignment="1">
      <alignment horizontal="center" vertical="center"/>
    </xf>
    <xf numFmtId="0" fontId="107" fillId="0" borderId="11" xfId="61293" applyFont="1" applyBorder="1" applyAlignment="1">
      <alignment horizontal="center"/>
    </xf>
    <xf numFmtId="0" fontId="107" fillId="0" borderId="11" xfId="61293" applyFont="1" applyBorder="1" applyAlignment="1">
      <alignment horizontal="center" vertical="center" wrapText="1"/>
    </xf>
    <xf numFmtId="0" fontId="107" fillId="0" borderId="11" xfId="61293" applyFont="1" applyFill="1" applyBorder="1" applyAlignment="1">
      <alignment horizontal="center" vertical="center"/>
    </xf>
    <xf numFmtId="0" fontId="107" fillId="0" borderId="0" xfId="61293" applyFont="1"/>
    <xf numFmtId="3" fontId="107" fillId="0" borderId="11" xfId="61293" applyNumberFormat="1" applyFont="1" applyFill="1" applyBorder="1" applyAlignment="1">
      <alignment horizontal="center" vertical="center"/>
    </xf>
    <xf numFmtId="3" fontId="107" fillId="0" borderId="11" xfId="61293" applyNumberFormat="1" applyFont="1" applyBorder="1" applyAlignment="1">
      <alignment horizontal="center" vertical="center"/>
    </xf>
    <xf numFmtId="3" fontId="108" fillId="0" borderId="14" xfId="0" applyNumberFormat="1" applyFont="1" applyFill="1" applyBorder="1" applyAlignment="1">
      <alignment horizontal="center" vertical="center" wrapText="1"/>
    </xf>
    <xf numFmtId="0" fontId="101" fillId="0" borderId="11" xfId="3" applyFont="1" applyFill="1" applyBorder="1" applyAlignment="1">
      <alignment horizontal="left" vertical="center" wrapText="1"/>
    </xf>
    <xf numFmtId="0" fontId="104" fillId="0" borderId="0" xfId="57801" applyFont="1"/>
    <xf numFmtId="0" fontId="100" fillId="74" borderId="11" xfId="58585" applyFont="1" applyFill="1" applyBorder="1" applyAlignment="1">
      <alignment horizontal="center" vertical="center" wrapText="1"/>
    </xf>
    <xf numFmtId="0" fontId="37" fillId="0" borderId="11" xfId="57801" applyFont="1" applyBorder="1" applyAlignment="1">
      <alignment horizontal="center" wrapText="1"/>
    </xf>
    <xf numFmtId="0" fontId="37" fillId="0" borderId="11" xfId="57801" applyFont="1" applyBorder="1" applyAlignment="1">
      <alignment horizontal="center" vertical="center" wrapText="1"/>
    </xf>
    <xf numFmtId="0" fontId="37" fillId="0" borderId="0" xfId="57801" applyFont="1"/>
    <xf numFmtId="3" fontId="109" fillId="0" borderId="11" xfId="57801" applyNumberFormat="1" applyFont="1" applyBorder="1" applyAlignment="1">
      <alignment horizontal="center" vertical="center" wrapText="1"/>
    </xf>
    <xf numFmtId="0" fontId="41" fillId="74" borderId="11" xfId="58585" applyFont="1" applyFill="1" applyBorder="1" applyAlignment="1">
      <alignment horizontal="center" vertical="center"/>
    </xf>
    <xf numFmtId="49" fontId="33" fillId="74" borderId="11" xfId="3" applyNumberFormat="1" applyFont="1" applyFill="1" applyBorder="1" applyAlignment="1">
      <alignment horizontal="center" vertical="center" wrapText="1"/>
    </xf>
    <xf numFmtId="0" fontId="43" fillId="74" borderId="11" xfId="3" applyFont="1" applyFill="1" applyBorder="1" applyAlignment="1">
      <alignment horizontal="left" vertical="center" wrapText="1"/>
    </xf>
    <xf numFmtId="3" fontId="104" fillId="0" borderId="11" xfId="57801" applyNumberFormat="1" applyFont="1" applyBorder="1" applyAlignment="1">
      <alignment horizontal="center" vertical="center" wrapText="1"/>
    </xf>
    <xf numFmtId="2" fontId="104" fillId="0" borderId="0" xfId="57801" applyNumberFormat="1" applyFont="1"/>
    <xf numFmtId="0" fontId="33" fillId="74" borderId="11" xfId="3" applyFont="1" applyFill="1" applyBorder="1" applyAlignment="1">
      <alignment horizontal="center" vertical="center" wrapText="1"/>
    </xf>
    <xf numFmtId="49" fontId="33" fillId="74" borderId="11" xfId="3" applyNumberFormat="1" applyFont="1" applyFill="1" applyBorder="1" applyAlignment="1">
      <alignment horizontal="center" vertical="center"/>
    </xf>
    <xf numFmtId="0" fontId="33" fillId="74" borderId="11" xfId="3" applyFont="1" applyFill="1" applyBorder="1" applyAlignment="1">
      <alignment horizontal="left" vertical="center" wrapText="1"/>
    </xf>
    <xf numFmtId="49" fontId="41" fillId="74" borderId="11" xfId="3" applyNumberFormat="1" applyFont="1" applyFill="1" applyBorder="1" applyAlignment="1">
      <alignment horizontal="center" vertical="center" wrapText="1"/>
    </xf>
    <xf numFmtId="0" fontId="41" fillId="74" borderId="11" xfId="3" applyFont="1" applyFill="1" applyBorder="1" applyAlignment="1">
      <alignment horizontal="left" vertical="center" wrapText="1"/>
    </xf>
    <xf numFmtId="49" fontId="33" fillId="74" borderId="11" xfId="58585" applyNumberFormat="1" applyFont="1" applyFill="1" applyBorder="1" applyAlignment="1">
      <alignment horizontal="center" vertical="center" wrapText="1"/>
    </xf>
    <xf numFmtId="0" fontId="43" fillId="74" borderId="11" xfId="58585" applyFont="1" applyFill="1" applyBorder="1" applyAlignment="1">
      <alignment horizontal="left" vertical="center" wrapText="1"/>
    </xf>
    <xf numFmtId="49" fontId="33" fillId="74" borderId="11" xfId="58585" applyNumberFormat="1" applyFont="1" applyFill="1" applyBorder="1" applyAlignment="1">
      <alignment horizontal="center" vertical="center"/>
    </xf>
    <xf numFmtId="0" fontId="33" fillId="74" borderId="11" xfId="58585" applyFont="1" applyFill="1" applyBorder="1" applyAlignment="1">
      <alignment horizontal="left" vertical="center" wrapText="1"/>
    </xf>
    <xf numFmtId="49" fontId="33" fillId="74" borderId="11" xfId="3" applyNumberFormat="1" applyFont="1" applyFill="1" applyBorder="1" applyAlignment="1">
      <alignment horizontal="left" vertical="center" wrapText="1"/>
    </xf>
    <xf numFmtId="0" fontId="41" fillId="74" borderId="0" xfId="58585" applyFont="1" applyFill="1" applyAlignment="1">
      <alignment horizontal="center" vertical="center"/>
    </xf>
    <xf numFmtId="0" fontId="41" fillId="74" borderId="0" xfId="58585" applyFont="1" applyFill="1" applyAlignment="1">
      <alignment horizontal="left" vertical="center"/>
    </xf>
    <xf numFmtId="0" fontId="41" fillId="0" borderId="11" xfId="58921" applyFont="1" applyFill="1" applyBorder="1" applyAlignment="1">
      <alignment horizontal="left" vertical="center" wrapText="1"/>
    </xf>
    <xf numFmtId="0" fontId="35" fillId="0" borderId="11" xfId="58921" applyFont="1" applyFill="1" applyBorder="1" applyAlignment="1">
      <alignment horizontal="left" vertical="center" wrapText="1"/>
    </xf>
    <xf numFmtId="3" fontId="35" fillId="0" borderId="11" xfId="58921" applyNumberFormat="1" applyFont="1" applyFill="1" applyBorder="1" applyAlignment="1">
      <alignment horizontal="center" vertical="center"/>
    </xf>
    <xf numFmtId="3" fontId="101" fillId="0" borderId="11" xfId="0" applyNumberFormat="1" applyFont="1" applyFill="1" applyBorder="1" applyAlignment="1">
      <alignment horizontal="left" vertical="center" wrapText="1"/>
    </xf>
    <xf numFmtId="170" fontId="35" fillId="0" borderId="11" xfId="58921" applyNumberFormat="1" applyFont="1" applyFill="1" applyBorder="1" applyAlignment="1">
      <alignment horizontal="center" vertical="center"/>
    </xf>
    <xf numFmtId="3" fontId="35" fillId="0" borderId="11" xfId="0" applyNumberFormat="1" applyFont="1" applyFill="1" applyBorder="1" applyAlignment="1">
      <alignment horizontal="left" vertical="center" wrapText="1"/>
    </xf>
    <xf numFmtId="3" fontId="35" fillId="0" borderId="31" xfId="58921" applyNumberFormat="1" applyFont="1" applyFill="1" applyBorder="1" applyAlignment="1">
      <alignment horizontal="center" vertical="center"/>
    </xf>
    <xf numFmtId="3" fontId="101" fillId="0" borderId="31" xfId="0" applyNumberFormat="1" applyFont="1" applyFill="1" applyBorder="1" applyAlignment="1">
      <alignment horizontal="left" vertical="center" wrapText="1"/>
    </xf>
    <xf numFmtId="3" fontId="41" fillId="0" borderId="11" xfId="58921" applyNumberFormat="1" applyFont="1" applyFill="1" applyBorder="1" applyAlignment="1">
      <alignment horizontal="center" vertical="center"/>
    </xf>
    <xf numFmtId="170" fontId="41" fillId="0" borderId="11" xfId="58921" applyNumberFormat="1" applyFont="1" applyFill="1" applyBorder="1" applyAlignment="1">
      <alignment horizontal="center" vertical="center"/>
    </xf>
    <xf numFmtId="3" fontId="41" fillId="0" borderId="31" xfId="58921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left" vertical="center"/>
    </xf>
    <xf numFmtId="0" fontId="41" fillId="0" borderId="0" xfId="58585" applyFont="1" applyFill="1" applyAlignment="1">
      <alignment horizontal="center" vertical="center"/>
    </xf>
    <xf numFmtId="0" fontId="41" fillId="76" borderId="0" xfId="58585" applyFont="1" applyFill="1" applyAlignment="1">
      <alignment horizontal="center" vertical="center"/>
    </xf>
    <xf numFmtId="3" fontId="41" fillId="74" borderId="0" xfId="58585" applyNumberFormat="1" applyFont="1" applyFill="1" applyAlignment="1">
      <alignment vertical="center"/>
    </xf>
    <xf numFmtId="0" fontId="41" fillId="76" borderId="0" xfId="58585" applyFont="1" applyFill="1" applyAlignment="1">
      <alignment horizontal="right" vertical="center"/>
    </xf>
    <xf numFmtId="0" fontId="41" fillId="76" borderId="0" xfId="58585" applyNumberFormat="1" applyFont="1" applyFill="1" applyBorder="1" applyAlignment="1">
      <alignment horizontal="center" vertical="center" wrapText="1"/>
    </xf>
    <xf numFmtId="3" fontId="113" fillId="74" borderId="0" xfId="58585" applyNumberFormat="1" applyFont="1" applyFill="1" applyBorder="1" applyAlignment="1">
      <alignment horizontal="right" vertical="center"/>
    </xf>
    <xf numFmtId="4" fontId="113" fillId="76" borderId="0" xfId="58585" applyNumberFormat="1" applyFont="1" applyFill="1" applyBorder="1" applyAlignment="1">
      <alignment horizontal="right" vertical="center"/>
    </xf>
    <xf numFmtId="3" fontId="113" fillId="76" borderId="0" xfId="58585" applyNumberFormat="1" applyFont="1" applyFill="1" applyBorder="1" applyAlignment="1">
      <alignment horizontal="right" vertical="center"/>
    </xf>
    <xf numFmtId="0" fontId="38" fillId="76" borderId="0" xfId="58585" applyFont="1" applyFill="1" applyAlignment="1">
      <alignment horizontal="right" vertical="center"/>
    </xf>
    <xf numFmtId="3" fontId="38" fillId="77" borderId="11" xfId="58585" applyNumberFormat="1" applyFont="1" applyFill="1" applyBorder="1" applyAlignment="1">
      <alignment horizontal="right" vertical="center"/>
    </xf>
    <xf numFmtId="3" fontId="38" fillId="0" borderId="11" xfId="58585" applyNumberFormat="1" applyFont="1" applyFill="1" applyBorder="1" applyAlignment="1">
      <alignment horizontal="right" vertical="center"/>
    </xf>
    <xf numFmtId="3" fontId="41" fillId="74" borderId="0" xfId="58585" applyNumberFormat="1" applyFont="1" applyFill="1" applyAlignment="1">
      <alignment horizontal="right" vertical="center"/>
    </xf>
    <xf numFmtId="0" fontId="38" fillId="0" borderId="11" xfId="58585" applyFont="1" applyBorder="1" applyAlignment="1">
      <alignment horizontal="center" vertical="center"/>
    </xf>
    <xf numFmtId="4" fontId="38" fillId="74" borderId="11" xfId="58585" applyNumberFormat="1" applyFont="1" applyFill="1" applyBorder="1" applyAlignment="1">
      <alignment vertical="center" wrapText="1"/>
    </xf>
    <xf numFmtId="4" fontId="38" fillId="74" borderId="11" xfId="58585" applyNumberFormat="1" applyFont="1" applyFill="1" applyBorder="1" applyAlignment="1">
      <alignment horizontal="center" vertical="center" wrapText="1"/>
    </xf>
    <xf numFmtId="3" fontId="41" fillId="74" borderId="11" xfId="58585" applyNumberFormat="1" applyFont="1" applyFill="1" applyBorder="1" applyAlignment="1">
      <alignment vertical="center" wrapText="1"/>
    </xf>
    <xf numFmtId="0" fontId="38" fillId="74" borderId="0" xfId="58585" applyFont="1" applyFill="1" applyAlignment="1">
      <alignment horizontal="right" vertical="center"/>
    </xf>
    <xf numFmtId="0" fontId="41" fillId="0" borderId="11" xfId="58585" applyFont="1" applyBorder="1" applyAlignment="1">
      <alignment horizontal="center" vertical="center"/>
    </xf>
    <xf numFmtId="4" fontId="41" fillId="74" borderId="11" xfId="58585" applyNumberFormat="1" applyFont="1" applyFill="1" applyBorder="1" applyAlignment="1">
      <alignment horizontal="center" vertical="center" wrapText="1"/>
    </xf>
    <xf numFmtId="3" fontId="41" fillId="0" borderId="11" xfId="58585" applyNumberFormat="1" applyFont="1" applyFill="1" applyBorder="1" applyAlignment="1">
      <alignment vertical="center" wrapText="1"/>
    </xf>
    <xf numFmtId="0" fontId="41" fillId="74" borderId="0" xfId="58585" applyFont="1" applyFill="1" applyAlignment="1">
      <alignment horizontal="right" vertical="center"/>
    </xf>
    <xf numFmtId="4" fontId="41" fillId="76" borderId="0" xfId="58585" applyNumberFormat="1" applyFont="1" applyFill="1" applyAlignment="1">
      <alignment horizontal="right" vertical="center"/>
    </xf>
    <xf numFmtId="3" fontId="41" fillId="76" borderId="0" xfId="58585" applyNumberFormat="1" applyFont="1" applyFill="1" applyAlignment="1">
      <alignment horizontal="right" vertical="center"/>
    </xf>
    <xf numFmtId="0" fontId="102" fillId="0" borderId="0" xfId="61314" applyFont="1"/>
    <xf numFmtId="0" fontId="98" fillId="0" borderId="10" xfId="61314" applyFont="1" applyBorder="1" applyAlignment="1">
      <alignment horizontal="center" wrapText="1"/>
    </xf>
    <xf numFmtId="0" fontId="37" fillId="0" borderId="11" xfId="61314" applyFont="1" applyBorder="1" applyAlignment="1">
      <alignment horizontal="center" vertical="center" wrapText="1"/>
    </xf>
    <xf numFmtId="0" fontId="37" fillId="0" borderId="11" xfId="61314" applyFont="1" applyBorder="1" applyAlignment="1">
      <alignment horizontal="center" wrapText="1"/>
    </xf>
    <xf numFmtId="0" fontId="37" fillId="0" borderId="11" xfId="61314" applyFont="1" applyBorder="1" applyAlignment="1">
      <alignment horizontal="center"/>
    </xf>
    <xf numFmtId="49" fontId="37" fillId="0" borderId="11" xfId="61314" applyNumberFormat="1" applyFont="1" applyBorder="1" applyAlignment="1">
      <alignment horizontal="center" vertical="center" wrapText="1"/>
    </xf>
    <xf numFmtId="0" fontId="37" fillId="0" borderId="11" xfId="61314" applyFont="1" applyBorder="1" applyAlignment="1">
      <alignment horizontal="left" vertical="center" wrapText="1"/>
    </xf>
    <xf numFmtId="3" fontId="37" fillId="0" borderId="11" xfId="61314" applyNumberFormat="1" applyFont="1" applyBorder="1" applyAlignment="1">
      <alignment horizontal="center" vertical="center"/>
    </xf>
    <xf numFmtId="0" fontId="37" fillId="0" borderId="11" xfId="61314" applyFont="1" applyBorder="1" applyAlignment="1">
      <alignment horizontal="center" vertical="center"/>
    </xf>
    <xf numFmtId="49" fontId="41" fillId="0" borderId="11" xfId="58975" applyNumberFormat="1" applyFont="1" applyFill="1" applyBorder="1" applyAlignment="1">
      <alignment horizontal="center" vertical="center"/>
    </xf>
    <xf numFmtId="0" fontId="41" fillId="0" borderId="11" xfId="58975" applyFont="1" applyFill="1" applyBorder="1" applyAlignment="1">
      <alignment horizontal="center" vertical="center" wrapText="1"/>
    </xf>
    <xf numFmtId="49" fontId="41" fillId="0" borderId="11" xfId="58975" applyNumberFormat="1" applyFont="1" applyFill="1" applyBorder="1" applyAlignment="1">
      <alignment horizontal="center" vertical="center" wrapText="1"/>
    </xf>
    <xf numFmtId="0" fontId="41" fillId="74" borderId="11" xfId="58975" applyFont="1" applyFill="1" applyBorder="1" applyAlignment="1">
      <alignment horizontal="center" vertical="center" wrapText="1"/>
    </xf>
    <xf numFmtId="49" fontId="41" fillId="74" borderId="11" xfId="58975" applyNumberFormat="1" applyFont="1" applyFill="1" applyBorder="1" applyAlignment="1">
      <alignment horizontal="center" vertical="center" wrapText="1"/>
    </xf>
    <xf numFmtId="0" fontId="38" fillId="0" borderId="11" xfId="58975" applyFont="1" applyFill="1" applyBorder="1" applyAlignment="1">
      <alignment horizontal="center" vertical="center" wrapText="1"/>
    </xf>
    <xf numFmtId="49" fontId="38" fillId="0" borderId="11" xfId="58975" applyNumberFormat="1" applyFont="1" applyFill="1" applyBorder="1" applyAlignment="1">
      <alignment horizontal="center" vertical="center"/>
    </xf>
    <xf numFmtId="49" fontId="38" fillId="0" borderId="11" xfId="58975" applyNumberFormat="1" applyFont="1" applyFill="1" applyBorder="1" applyAlignment="1">
      <alignment horizontal="center" vertical="center" wrapText="1"/>
    </xf>
    <xf numFmtId="0" fontId="38" fillId="74" borderId="11" xfId="58975" applyFont="1" applyFill="1" applyBorder="1" applyAlignment="1">
      <alignment horizontal="center" vertical="center" wrapText="1"/>
    </xf>
    <xf numFmtId="49" fontId="38" fillId="74" borderId="11" xfId="58975" applyNumberFormat="1" applyFont="1" applyFill="1" applyBorder="1" applyAlignment="1">
      <alignment horizontal="center" vertical="center"/>
    </xf>
    <xf numFmtId="49" fontId="38" fillId="0" borderId="11" xfId="58921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5" fillId="78" borderId="11" xfId="0" applyFont="1" applyFill="1" applyBorder="1" applyAlignment="1">
      <alignment horizontal="center" vertical="center" wrapText="1"/>
    </xf>
    <xf numFmtId="0" fontId="119" fillId="0" borderId="11" xfId="0" applyFont="1" applyBorder="1" applyAlignment="1">
      <alignment horizontal="center" vertical="center"/>
    </xf>
    <xf numFmtId="3" fontId="97" fillId="78" borderId="11" xfId="0" applyNumberFormat="1" applyFont="1" applyFill="1" applyBorder="1" applyAlignment="1">
      <alignment horizontal="center" vertical="center" wrapText="1"/>
    </xf>
    <xf numFmtId="0" fontId="97" fillId="78" borderId="11" xfId="0" applyFont="1" applyFill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78" borderId="11" xfId="0" applyFont="1" applyFill="1" applyBorder="1" applyAlignment="1">
      <alignment vertical="center" wrapText="1"/>
    </xf>
    <xf numFmtId="3" fontId="119" fillId="0" borderId="11" xfId="0" applyNumberFormat="1" applyFont="1" applyBorder="1" applyAlignment="1">
      <alignment horizontal="center" vertical="center"/>
    </xf>
    <xf numFmtId="0" fontId="119" fillId="78" borderId="11" xfId="0" applyFont="1" applyFill="1" applyBorder="1" applyAlignment="1">
      <alignment horizontal="center" vertical="center"/>
    </xf>
    <xf numFmtId="0" fontId="119" fillId="78" borderId="11" xfId="0" applyFont="1" applyFill="1" applyBorder="1" applyAlignment="1">
      <alignment vertical="center" wrapText="1"/>
    </xf>
    <xf numFmtId="0" fontId="103" fillId="0" borderId="11" xfId="0" applyFont="1" applyBorder="1" applyAlignment="1">
      <alignment horizontal="center" vertical="center"/>
    </xf>
    <xf numFmtId="0" fontId="97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vertical="center" wrapText="1"/>
    </xf>
    <xf numFmtId="0" fontId="45" fillId="0" borderId="0" xfId="0" applyFont="1" applyAlignment="1">
      <alignment horizontal="justify" vertical="center"/>
    </xf>
    <xf numFmtId="0" fontId="75" fillId="0" borderId="0" xfId="0" applyFont="1"/>
    <xf numFmtId="0" fontId="45" fillId="0" borderId="0" xfId="0" applyFont="1" applyAlignment="1">
      <alignment horizontal="left" vertical="center"/>
    </xf>
    <xf numFmtId="3" fontId="45" fillId="0" borderId="0" xfId="0" applyNumberFormat="1" applyFont="1" applyAlignment="1">
      <alignment horizontal="center" vertical="center"/>
    </xf>
    <xf numFmtId="3" fontId="33" fillId="0" borderId="11" xfId="0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3" fontId="121" fillId="0" borderId="11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left" vertical="center"/>
    </xf>
    <xf numFmtId="3" fontId="33" fillId="0" borderId="0" xfId="0" applyNumberFormat="1" applyFont="1" applyFill="1" applyAlignment="1">
      <alignment horizontal="center" vertical="center"/>
    </xf>
    <xf numFmtId="3" fontId="114" fillId="0" borderId="0" xfId="0" applyNumberFormat="1" applyFont="1" applyFill="1" applyAlignment="1">
      <alignment horizontal="center" vertical="center"/>
    </xf>
    <xf numFmtId="3" fontId="33" fillId="0" borderId="11" xfId="0" applyNumberFormat="1" applyFont="1" applyFill="1" applyBorder="1" applyAlignment="1">
      <alignment horizontal="center" vertical="center"/>
    </xf>
    <xf numFmtId="3" fontId="114" fillId="0" borderId="11" xfId="0" applyNumberFormat="1" applyFont="1" applyFill="1" applyBorder="1" applyAlignment="1">
      <alignment horizontal="center" vertical="center"/>
    </xf>
    <xf numFmtId="0" fontId="122" fillId="0" borderId="0" xfId="0" applyFont="1" applyFill="1" applyAlignment="1">
      <alignment horizontal="center" vertical="center"/>
    </xf>
    <xf numFmtId="3" fontId="41" fillId="0" borderId="0" xfId="0" applyNumberFormat="1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4" fontId="41" fillId="74" borderId="0" xfId="58867" applyNumberFormat="1" applyFont="1" applyFill="1" applyAlignment="1">
      <alignment horizontal="right" vertical="center"/>
    </xf>
    <xf numFmtId="3" fontId="41" fillId="74" borderId="0" xfId="58867" applyNumberFormat="1" applyFont="1" applyFill="1" applyAlignment="1">
      <alignment horizontal="center" vertical="center"/>
    </xf>
    <xf numFmtId="3" fontId="41" fillId="74" borderId="0" xfId="58867" applyNumberFormat="1" applyFont="1" applyFill="1" applyBorder="1" applyAlignment="1">
      <alignment horizontal="center" vertical="center" wrapText="1"/>
    </xf>
    <xf numFmtId="4" fontId="100" fillId="74" borderId="0" xfId="58867" applyNumberFormat="1" applyFont="1" applyFill="1" applyAlignment="1">
      <alignment horizontal="right" vertical="center"/>
    </xf>
    <xf numFmtId="3" fontId="33" fillId="74" borderId="11" xfId="58940" applyNumberFormat="1" applyFont="1" applyFill="1" applyBorder="1" applyAlignment="1">
      <alignment horizontal="center" vertical="center" wrapText="1"/>
    </xf>
    <xf numFmtId="3" fontId="43" fillId="74" borderId="11" xfId="58940" applyNumberFormat="1" applyFont="1" applyFill="1" applyBorder="1" applyAlignment="1">
      <alignment horizontal="left" vertical="center" wrapText="1"/>
    </xf>
    <xf numFmtId="3" fontId="43" fillId="74" borderId="11" xfId="58940" applyNumberFormat="1" applyFont="1" applyFill="1" applyBorder="1" applyAlignment="1">
      <alignment horizontal="center" vertical="center" wrapText="1"/>
    </xf>
    <xf numFmtId="3" fontId="43" fillId="74" borderId="15" xfId="58940" applyNumberFormat="1" applyFont="1" applyFill="1" applyBorder="1" applyAlignment="1">
      <alignment horizontal="left" vertical="center" wrapText="1"/>
    </xf>
    <xf numFmtId="3" fontId="43" fillId="74" borderId="15" xfId="58940" applyNumberFormat="1" applyFont="1" applyFill="1" applyBorder="1" applyAlignment="1">
      <alignment horizontal="center" vertical="center" wrapText="1"/>
    </xf>
    <xf numFmtId="3" fontId="33" fillId="74" borderId="11" xfId="58940" applyNumberFormat="1" applyFont="1" applyFill="1" applyBorder="1" applyAlignment="1">
      <alignment horizontal="center" vertical="center"/>
    </xf>
    <xf numFmtId="3" fontId="33" fillId="74" borderId="15" xfId="58940" applyNumberFormat="1" applyFont="1" applyFill="1" applyBorder="1" applyAlignment="1">
      <alignment horizontal="left" vertical="center" wrapText="1"/>
    </xf>
    <xf numFmtId="3" fontId="33" fillId="74" borderId="15" xfId="58940" applyNumberFormat="1" applyFont="1" applyFill="1" applyBorder="1" applyAlignment="1">
      <alignment horizontal="center" vertical="center" wrapText="1"/>
    </xf>
    <xf numFmtId="3" fontId="41" fillId="74" borderId="11" xfId="58940" applyNumberFormat="1" applyFont="1" applyFill="1" applyBorder="1" applyAlignment="1">
      <alignment horizontal="center" vertical="center" wrapText="1"/>
    </xf>
    <xf numFmtId="3" fontId="41" fillId="74" borderId="15" xfId="58940" applyNumberFormat="1" applyFont="1" applyFill="1" applyBorder="1" applyAlignment="1">
      <alignment horizontal="left" vertical="center" wrapText="1"/>
    </xf>
    <xf numFmtId="3" fontId="41" fillId="74" borderId="15" xfId="58940" applyNumberFormat="1" applyFont="1" applyFill="1" applyBorder="1" applyAlignment="1">
      <alignment horizontal="center" vertical="center" wrapText="1"/>
    </xf>
    <xf numFmtId="49" fontId="33" fillId="74" borderId="11" xfId="58940" applyNumberFormat="1" applyFont="1" applyFill="1" applyBorder="1" applyAlignment="1">
      <alignment horizontal="center" vertical="center" wrapText="1"/>
    </xf>
    <xf numFmtId="0" fontId="33" fillId="74" borderId="11" xfId="58940" applyFont="1" applyFill="1" applyBorder="1" applyAlignment="1">
      <alignment horizontal="left" vertical="center" wrapText="1"/>
    </xf>
    <xf numFmtId="3" fontId="33" fillId="74" borderId="11" xfId="58867" applyNumberFormat="1" applyFont="1" applyFill="1" applyBorder="1" applyAlignment="1">
      <alignment horizontal="center" vertical="center" wrapText="1"/>
    </xf>
    <xf numFmtId="3" fontId="43" fillId="74" borderId="15" xfId="58867" applyNumberFormat="1" applyFont="1" applyFill="1" applyBorder="1" applyAlignment="1">
      <alignment horizontal="left" vertical="center" wrapText="1"/>
    </xf>
    <xf numFmtId="3" fontId="43" fillId="74" borderId="15" xfId="58867" applyNumberFormat="1" applyFont="1" applyFill="1" applyBorder="1" applyAlignment="1">
      <alignment horizontal="center" vertical="center" wrapText="1"/>
    </xf>
    <xf numFmtId="3" fontId="33" fillId="74" borderId="31" xfId="58940" applyNumberFormat="1" applyFont="1" applyFill="1" applyBorder="1" applyAlignment="1">
      <alignment horizontal="center" vertical="center"/>
    </xf>
    <xf numFmtId="3" fontId="33" fillId="74" borderId="31" xfId="58940" applyNumberFormat="1" applyFont="1" applyFill="1" applyBorder="1" applyAlignment="1">
      <alignment horizontal="center" vertical="center" wrapText="1"/>
    </xf>
    <xf numFmtId="49" fontId="33" fillId="74" borderId="11" xfId="61302" applyNumberFormat="1" applyFont="1" applyFill="1" applyBorder="1" applyAlignment="1">
      <alignment horizontal="center" vertical="center"/>
    </xf>
    <xf numFmtId="0" fontId="41" fillId="74" borderId="11" xfId="58940" applyFont="1" applyFill="1" applyBorder="1" applyAlignment="1">
      <alignment horizontal="left" vertical="center" wrapText="1"/>
    </xf>
    <xf numFmtId="3" fontId="33" fillId="74" borderId="11" xfId="58867" applyNumberFormat="1" applyFont="1" applyFill="1" applyBorder="1" applyAlignment="1">
      <alignment horizontal="center" vertical="center"/>
    </xf>
    <xf numFmtId="3" fontId="33" fillId="74" borderId="15" xfId="58867" applyNumberFormat="1" applyFont="1" applyFill="1" applyBorder="1" applyAlignment="1">
      <alignment horizontal="left" vertical="center" wrapText="1"/>
    </xf>
    <xf numFmtId="3" fontId="33" fillId="74" borderId="15" xfId="58867" applyNumberFormat="1" applyFont="1" applyFill="1" applyBorder="1" applyAlignment="1">
      <alignment horizontal="center" vertical="center" wrapText="1"/>
    </xf>
    <xf numFmtId="3" fontId="38" fillId="74" borderId="11" xfId="58867" applyNumberFormat="1" applyFont="1" applyFill="1" applyBorder="1" applyAlignment="1">
      <alignment horizontal="center" vertical="center"/>
    </xf>
    <xf numFmtId="3" fontId="38" fillId="74" borderId="0" xfId="58867" applyNumberFormat="1" applyFont="1" applyFill="1" applyAlignment="1">
      <alignment horizontal="right" vertical="center"/>
    </xf>
    <xf numFmtId="3" fontId="38" fillId="74" borderId="11" xfId="58867" applyNumberFormat="1" applyFont="1" applyFill="1" applyBorder="1" applyAlignment="1">
      <alignment horizontal="center" vertical="center" wrapText="1"/>
    </xf>
    <xf numFmtId="3" fontId="41" fillId="74" borderId="0" xfId="58867" applyNumberFormat="1" applyFont="1" applyFill="1" applyAlignment="1">
      <alignment horizontal="left" vertical="center"/>
    </xf>
    <xf numFmtId="3" fontId="41" fillId="74" borderId="0" xfId="58867" applyNumberFormat="1" applyFont="1" applyFill="1" applyAlignment="1">
      <alignment horizontal="right" vertical="center"/>
    </xf>
    <xf numFmtId="0" fontId="45" fillId="0" borderId="0" xfId="59013" applyFont="1" applyFill="1" applyAlignment="1">
      <alignment vertical="center"/>
    </xf>
    <xf numFmtId="0" fontId="118" fillId="0" borderId="0" xfId="59013" applyFont="1" applyFill="1" applyBorder="1" applyAlignment="1">
      <alignment horizontal="center" vertical="center" wrapText="1"/>
    </xf>
    <xf numFmtId="0" fontId="32" fillId="0" borderId="11" xfId="59013" applyFont="1" applyFill="1" applyBorder="1" applyAlignment="1" applyProtection="1">
      <alignment horizontal="center" vertical="center" wrapText="1"/>
      <protection locked="0"/>
    </xf>
    <xf numFmtId="0" fontId="98" fillId="0" borderId="11" xfId="59013" applyFont="1" applyFill="1" applyBorder="1" applyAlignment="1" applyProtection="1">
      <alignment horizontal="center" vertical="center" wrapText="1"/>
      <protection locked="0"/>
    </xf>
    <xf numFmtId="0" fontId="98" fillId="0" borderId="0" xfId="59013" applyFont="1" applyFill="1" applyAlignment="1" applyProtection="1">
      <alignment vertical="center"/>
      <protection locked="0"/>
    </xf>
    <xf numFmtId="0" fontId="127" fillId="0" borderId="11" xfId="59013" applyFont="1" applyFill="1" applyBorder="1" applyAlignment="1" applyProtection="1">
      <alignment horizontal="center" vertical="center" wrapText="1"/>
      <protection locked="0"/>
    </xf>
    <xf numFmtId="3" fontId="98" fillId="0" borderId="11" xfId="59013" applyNumberFormat="1" applyFont="1" applyFill="1" applyBorder="1" applyAlignment="1" applyProtection="1">
      <alignment horizontal="center" vertical="center"/>
      <protection locked="0"/>
    </xf>
    <xf numFmtId="0" fontId="98" fillId="0" borderId="11" xfId="59013" applyFont="1" applyFill="1" applyBorder="1" applyAlignment="1">
      <alignment vertical="center"/>
    </xf>
    <xf numFmtId="0" fontId="98" fillId="0" borderId="11" xfId="59013" applyFont="1" applyBorder="1" applyAlignment="1">
      <alignment horizontal="center" vertical="center"/>
    </xf>
    <xf numFmtId="3" fontId="98" fillId="0" borderId="11" xfId="59013" applyNumberFormat="1" applyFont="1" applyFill="1" applyBorder="1" applyAlignment="1">
      <alignment horizontal="center" vertical="center"/>
    </xf>
    <xf numFmtId="0" fontId="128" fillId="0" borderId="11" xfId="59013" applyFont="1" applyFill="1" applyBorder="1" applyAlignment="1" applyProtection="1">
      <alignment horizontal="center" vertical="center" wrapText="1"/>
      <protection locked="0"/>
    </xf>
    <xf numFmtId="3" fontId="128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18" fillId="0" borderId="0" xfId="59013" applyFont="1" applyFill="1" applyAlignment="1">
      <alignment vertical="center"/>
    </xf>
    <xf numFmtId="0" fontId="98" fillId="0" borderId="0" xfId="59013" applyFont="1" applyFill="1" applyAlignment="1">
      <alignment vertical="center"/>
    </xf>
    <xf numFmtId="0" fontId="97" fillId="0" borderId="0" xfId="59013" applyFont="1" applyFill="1" applyAlignment="1">
      <alignment vertical="center"/>
    </xf>
    <xf numFmtId="0" fontId="41" fillId="74" borderId="11" xfId="58975" applyFont="1" applyFill="1" applyBorder="1" applyAlignment="1">
      <alignment horizontal="left" vertical="center" wrapText="1"/>
    </xf>
    <xf numFmtId="0" fontId="35" fillId="74" borderId="0" xfId="61317" applyFont="1" applyFill="1" applyAlignment="1">
      <alignment vertical="center"/>
    </xf>
    <xf numFmtId="3" fontId="35" fillId="74" borderId="15" xfId="61317" applyNumberFormat="1" applyFont="1" applyFill="1" applyBorder="1" applyAlignment="1">
      <alignment horizontal="center" vertical="center"/>
    </xf>
    <xf numFmtId="2" fontId="106" fillId="74" borderId="17" xfId="61317" applyNumberFormat="1" applyFont="1" applyFill="1" applyBorder="1" applyAlignment="1">
      <alignment vertical="center"/>
    </xf>
    <xf numFmtId="2" fontId="129" fillId="74" borderId="17" xfId="61317" applyNumberFormat="1" applyFont="1" applyFill="1" applyBorder="1" applyAlignment="1">
      <alignment vertical="center"/>
    </xf>
    <xf numFmtId="2" fontId="129" fillId="74" borderId="16" xfId="61317" applyNumberFormat="1" applyFont="1" applyFill="1" applyBorder="1" applyAlignment="1">
      <alignment vertical="center"/>
    </xf>
    <xf numFmtId="3" fontId="35" fillId="74" borderId="17" xfId="61317" applyNumberFormat="1" applyFont="1" applyFill="1" applyBorder="1" applyAlignment="1">
      <alignment horizontal="left" vertical="center"/>
    </xf>
    <xf numFmtId="3" fontId="35" fillId="74" borderId="17" xfId="61317" applyNumberFormat="1" applyFont="1" applyFill="1" applyBorder="1" applyAlignment="1">
      <alignment vertical="center"/>
    </xf>
    <xf numFmtId="3" fontId="35" fillId="74" borderId="16" xfId="61317" applyNumberFormat="1" applyFont="1" applyFill="1" applyBorder="1" applyAlignment="1">
      <alignment vertical="center"/>
    </xf>
    <xf numFmtId="0" fontId="35" fillId="74" borderId="11" xfId="61317" applyFont="1" applyFill="1" applyBorder="1" applyAlignment="1">
      <alignment horizontal="center" vertical="center" wrapText="1"/>
    </xf>
    <xf numFmtId="3" fontId="35" fillId="74" borderId="11" xfId="61317" applyNumberFormat="1" applyFont="1" applyFill="1" applyBorder="1" applyAlignment="1">
      <alignment horizontal="center" vertical="center"/>
    </xf>
    <xf numFmtId="3" fontId="35" fillId="74" borderId="11" xfId="61317" applyNumberFormat="1" applyFont="1" applyFill="1" applyBorder="1" applyAlignment="1">
      <alignment horizontal="center" vertical="center" wrapText="1"/>
    </xf>
    <xf numFmtId="49" fontId="35" fillId="74" borderId="14" xfId="61317" applyNumberFormat="1" applyFont="1" applyFill="1" applyBorder="1" applyAlignment="1">
      <alignment horizontal="center" vertical="center" wrapText="1"/>
    </xf>
    <xf numFmtId="0" fontId="111" fillId="74" borderId="11" xfId="61317" applyFont="1" applyFill="1" applyBorder="1" applyAlignment="1">
      <alignment vertical="center"/>
    </xf>
    <xf numFmtId="3" fontId="111" fillId="74" borderId="11" xfId="61317" applyNumberFormat="1" applyFont="1" applyFill="1" applyBorder="1" applyAlignment="1">
      <alignment horizontal="center" vertical="center" wrapText="1"/>
    </xf>
    <xf numFmtId="3" fontId="111" fillId="74" borderId="11" xfId="61317" applyNumberFormat="1" applyFont="1" applyFill="1" applyBorder="1" applyAlignment="1">
      <alignment horizontal="center" vertical="center"/>
    </xf>
    <xf numFmtId="4" fontId="38" fillId="74" borderId="17" xfId="61317" applyNumberFormat="1" applyFont="1" applyFill="1" applyBorder="1" applyAlignment="1">
      <alignment vertical="center" wrapText="1"/>
    </xf>
    <xf numFmtId="3" fontId="35" fillId="74" borderId="11" xfId="61318" applyNumberFormat="1" applyFont="1" applyFill="1" applyBorder="1" applyAlignment="1">
      <alignment horizontal="center" vertical="center" wrapText="1"/>
    </xf>
    <xf numFmtId="0" fontId="35" fillId="74" borderId="11" xfId="61317" applyFont="1" applyFill="1" applyBorder="1" applyAlignment="1">
      <alignment horizontal="center" vertical="center"/>
    </xf>
    <xf numFmtId="49" fontId="41" fillId="74" borderId="11" xfId="58975" applyNumberFormat="1" applyFont="1" applyFill="1" applyBorder="1" applyAlignment="1">
      <alignment horizontal="center" vertical="center"/>
    </xf>
    <xf numFmtId="49" fontId="35" fillId="74" borderId="11" xfId="61317" applyNumberFormat="1" applyFont="1" applyFill="1" applyBorder="1" applyAlignment="1">
      <alignment horizontal="center" vertical="center"/>
    </xf>
    <xf numFmtId="3" fontId="35" fillId="74" borderId="0" xfId="61317" applyNumberFormat="1" applyFont="1" applyFill="1" applyBorder="1" applyAlignment="1">
      <alignment horizontal="left" vertical="center"/>
    </xf>
    <xf numFmtId="49" fontId="35" fillId="74" borderId="0" xfId="61317" applyNumberFormat="1" applyFont="1" applyFill="1" applyBorder="1" applyAlignment="1">
      <alignment horizontal="left" vertical="center"/>
    </xf>
    <xf numFmtId="3" fontId="35" fillId="74" borderId="0" xfId="61317" applyNumberFormat="1" applyFont="1" applyFill="1" applyBorder="1" applyAlignment="1">
      <alignment horizontal="right" vertical="center"/>
    </xf>
    <xf numFmtId="3" fontId="35" fillId="74" borderId="0" xfId="61317" applyNumberFormat="1" applyFont="1" applyFill="1" applyBorder="1" applyAlignment="1">
      <alignment horizontal="center" vertical="center"/>
    </xf>
    <xf numFmtId="3" fontId="35" fillId="74" borderId="0" xfId="61317" applyNumberFormat="1" applyFont="1" applyFill="1" applyBorder="1" applyAlignment="1">
      <alignment vertical="center"/>
    </xf>
    <xf numFmtId="0" fontId="35" fillId="74" borderId="0" xfId="61317" applyFont="1" applyFill="1" applyBorder="1" applyAlignment="1">
      <alignment horizontal="center" vertical="center"/>
    </xf>
    <xf numFmtId="49" fontId="35" fillId="74" borderId="0" xfId="61317" applyNumberFormat="1" applyFont="1" applyFill="1" applyBorder="1" applyAlignment="1">
      <alignment horizontal="center" vertical="center"/>
    </xf>
    <xf numFmtId="0" fontId="35" fillId="74" borderId="0" xfId="61317" applyFont="1" applyFill="1" applyBorder="1" applyAlignment="1">
      <alignment horizontal="right" vertical="center"/>
    </xf>
    <xf numFmtId="0" fontId="35" fillId="74" borderId="0" xfId="61317" applyFont="1" applyFill="1" applyBorder="1" applyAlignment="1">
      <alignment vertical="center"/>
    </xf>
    <xf numFmtId="0" fontId="35" fillId="74" borderId="0" xfId="61317" applyFont="1" applyFill="1" applyAlignment="1">
      <alignment horizontal="center" vertical="center"/>
    </xf>
    <xf numFmtId="49" fontId="35" fillId="74" borderId="0" xfId="61317" applyNumberFormat="1" applyFont="1" applyFill="1" applyAlignment="1">
      <alignment horizontal="center" vertical="center"/>
    </xf>
    <xf numFmtId="3" fontId="35" fillId="74" borderId="0" xfId="61317" applyNumberFormat="1" applyFont="1" applyFill="1" applyAlignment="1">
      <alignment horizontal="center" vertical="center"/>
    </xf>
    <xf numFmtId="3" fontId="35" fillId="74" borderId="0" xfId="61317" applyNumberFormat="1" applyFont="1" applyFill="1" applyAlignment="1">
      <alignment vertical="center"/>
    </xf>
    <xf numFmtId="3" fontId="35" fillId="74" borderId="0" xfId="61317" applyNumberFormat="1" applyFont="1" applyFill="1" applyAlignment="1">
      <alignment horizontal="left" vertical="center"/>
    </xf>
    <xf numFmtId="4" fontId="111" fillId="74" borderId="11" xfId="61317" applyNumberFormat="1" applyFont="1" applyFill="1" applyBorder="1" applyAlignment="1">
      <alignment vertical="center" wrapText="1"/>
    </xf>
    <xf numFmtId="4" fontId="35" fillId="74" borderId="11" xfId="61317" applyNumberFormat="1" applyFont="1" applyFill="1" applyBorder="1" applyAlignment="1">
      <alignment vertical="center" wrapText="1"/>
    </xf>
    <xf numFmtId="3" fontId="35" fillId="74" borderId="11" xfId="61317" applyNumberFormat="1" applyFont="1" applyFill="1" applyBorder="1" applyAlignment="1">
      <alignment horizontal="left" vertical="center"/>
    </xf>
    <xf numFmtId="3" fontId="35" fillId="74" borderId="0" xfId="61317" applyNumberFormat="1" applyFont="1" applyFill="1" applyAlignment="1">
      <alignment horizontal="right" vertical="center"/>
    </xf>
    <xf numFmtId="0" fontId="134" fillId="74" borderId="0" xfId="58923" applyFont="1" applyFill="1" applyAlignment="1">
      <alignment horizontal="center" vertical="center"/>
    </xf>
    <xf numFmtId="0" fontId="134" fillId="74" borderId="0" xfId="58923" applyFont="1" applyFill="1" applyBorder="1" applyAlignment="1">
      <alignment horizontal="left" vertical="center"/>
    </xf>
    <xf numFmtId="0" fontId="135" fillId="74" borderId="0" xfId="58923" applyFont="1" applyFill="1" applyBorder="1" applyAlignment="1">
      <alignment horizontal="center" vertical="center"/>
    </xf>
    <xf numFmtId="0" fontId="87" fillId="74" borderId="0" xfId="58923" applyFont="1" applyFill="1" applyAlignment="1">
      <alignment horizontal="center" vertical="center"/>
    </xf>
    <xf numFmtId="0" fontId="134" fillId="74" borderId="46" xfId="58923" applyFont="1" applyFill="1" applyBorder="1" applyAlignment="1">
      <alignment vertical="center"/>
    </xf>
    <xf numFmtId="0" fontId="97" fillId="74" borderId="36" xfId="58923" applyFont="1" applyFill="1" applyBorder="1" applyAlignment="1">
      <alignment vertical="center"/>
    </xf>
    <xf numFmtId="0" fontId="97" fillId="74" borderId="37" xfId="58923" applyFont="1" applyFill="1" applyBorder="1" applyAlignment="1">
      <alignment vertical="center"/>
    </xf>
    <xf numFmtId="0" fontId="136" fillId="74" borderId="0" xfId="58923" applyFont="1" applyFill="1" applyAlignment="1">
      <alignment horizontal="center" vertical="center"/>
    </xf>
    <xf numFmtId="0" fontId="138" fillId="74" borderId="11" xfId="58923" applyFont="1" applyFill="1" applyBorder="1" applyAlignment="1">
      <alignment horizontal="center" vertical="center" wrapText="1"/>
    </xf>
    <xf numFmtId="0" fontId="142" fillId="74" borderId="11" xfId="58923" applyFont="1" applyFill="1" applyBorder="1" applyAlignment="1">
      <alignment horizontal="center" vertical="center" wrapText="1"/>
    </xf>
    <xf numFmtId="0" fontId="141" fillId="74" borderId="11" xfId="58923" applyFont="1" applyFill="1" applyBorder="1" applyAlignment="1">
      <alignment horizontal="center" vertical="center" wrapText="1"/>
    </xf>
    <xf numFmtId="3" fontId="136" fillId="74" borderId="42" xfId="58923" applyNumberFormat="1" applyFont="1" applyFill="1" applyBorder="1" applyAlignment="1">
      <alignment horizontal="center" vertical="center" wrapText="1"/>
    </xf>
    <xf numFmtId="3" fontId="97" fillId="74" borderId="11" xfId="58923" applyNumberFormat="1" applyFont="1" applyFill="1" applyBorder="1" applyAlignment="1">
      <alignment vertical="center"/>
    </xf>
    <xf numFmtId="3" fontId="143" fillId="74" borderId="14" xfId="58923" applyNumberFormat="1" applyFont="1" applyFill="1" applyBorder="1" applyAlignment="1">
      <alignment horizontal="center" vertical="center" wrapText="1"/>
    </xf>
    <xf numFmtId="3" fontId="144" fillId="74" borderId="11" xfId="58923" applyNumberFormat="1" applyFont="1" applyFill="1" applyBorder="1" applyAlignment="1">
      <alignment horizontal="center" vertical="center" wrapText="1"/>
    </xf>
    <xf numFmtId="3" fontId="143" fillId="74" borderId="11" xfId="58923" applyNumberFormat="1" applyFont="1" applyFill="1" applyBorder="1" applyAlignment="1">
      <alignment horizontal="center" vertical="center" wrapText="1"/>
    </xf>
    <xf numFmtId="3" fontId="143" fillId="74" borderId="41" xfId="58923" applyNumberFormat="1" applyFont="1" applyFill="1" applyBorder="1" applyAlignment="1">
      <alignment horizontal="center" vertical="center"/>
    </xf>
    <xf numFmtId="3" fontId="38" fillId="74" borderId="42" xfId="58923" applyNumberFormat="1" applyFont="1" applyFill="1" applyBorder="1" applyAlignment="1">
      <alignment horizontal="center" vertical="center" wrapText="1"/>
    </xf>
    <xf numFmtId="3" fontId="38" fillId="74" borderId="14" xfId="58923" applyNumberFormat="1" applyFont="1" applyFill="1" applyBorder="1" applyAlignment="1">
      <alignment horizontal="center" vertical="center" wrapText="1"/>
    </xf>
    <xf numFmtId="3" fontId="143" fillId="74" borderId="41" xfId="58923" applyNumberFormat="1" applyFont="1" applyFill="1" applyBorder="1" applyAlignment="1">
      <alignment horizontal="center" vertical="center" wrapText="1"/>
    </xf>
    <xf numFmtId="3" fontId="144" fillId="74" borderId="42" xfId="58923" applyNumberFormat="1" applyFont="1" applyFill="1" applyBorder="1" applyAlignment="1">
      <alignment horizontal="center" vertical="center" wrapText="1"/>
    </xf>
    <xf numFmtId="3" fontId="144" fillId="74" borderId="14" xfId="58923" applyNumberFormat="1" applyFont="1" applyFill="1" applyBorder="1" applyAlignment="1">
      <alignment horizontal="center" vertical="center" wrapText="1"/>
    </xf>
    <xf numFmtId="3" fontId="136" fillId="74" borderId="0" xfId="58923" applyNumberFormat="1" applyFont="1" applyFill="1" applyAlignment="1">
      <alignment horizontal="center" vertical="center"/>
    </xf>
    <xf numFmtId="3" fontId="144" fillId="74" borderId="40" xfId="58923" applyNumberFormat="1" applyFont="1" applyFill="1" applyBorder="1" applyAlignment="1">
      <alignment horizontal="center" vertical="center" wrapText="1"/>
    </xf>
    <xf numFmtId="0" fontId="136" fillId="74" borderId="42" xfId="58923" applyFont="1" applyFill="1" applyBorder="1" applyAlignment="1">
      <alignment horizontal="center" vertical="center"/>
    </xf>
    <xf numFmtId="0" fontId="136" fillId="74" borderId="34" xfId="58923" applyFont="1" applyFill="1" applyBorder="1" applyAlignment="1">
      <alignment horizontal="left" vertical="center" wrapText="1"/>
    </xf>
    <xf numFmtId="0" fontId="136" fillId="74" borderId="11" xfId="58923" applyFont="1" applyFill="1" applyBorder="1" applyAlignment="1">
      <alignment horizontal="left" vertical="center" wrapText="1"/>
    </xf>
    <xf numFmtId="3" fontId="136" fillId="74" borderId="14" xfId="58923" applyNumberFormat="1" applyFont="1" applyFill="1" applyBorder="1" applyAlignment="1">
      <alignment horizontal="center" vertical="center" wrapText="1"/>
    </xf>
    <xf numFmtId="3" fontId="146" fillId="74" borderId="11" xfId="58923" applyNumberFormat="1" applyFont="1" applyFill="1" applyBorder="1" applyAlignment="1">
      <alignment horizontal="center" vertical="center"/>
    </xf>
    <xf numFmtId="3" fontId="136" fillId="74" borderId="11" xfId="58923" applyNumberFormat="1" applyFont="1" applyFill="1" applyBorder="1" applyAlignment="1">
      <alignment horizontal="center" vertical="center" wrapText="1"/>
    </xf>
    <xf numFmtId="3" fontId="136" fillId="74" borderId="41" xfId="58923" applyNumberFormat="1" applyFont="1" applyFill="1" applyBorder="1" applyAlignment="1">
      <alignment horizontal="center" vertical="center"/>
    </xf>
    <xf numFmtId="3" fontId="45" fillId="74" borderId="42" xfId="58923" applyNumberFormat="1" applyFont="1" applyFill="1" applyBorder="1" applyAlignment="1">
      <alignment horizontal="center" vertical="center" wrapText="1"/>
    </xf>
    <xf numFmtId="3" fontId="45" fillId="74" borderId="14" xfId="58923" applyNumberFormat="1" applyFont="1" applyFill="1" applyBorder="1" applyAlignment="1">
      <alignment horizontal="center" vertical="center" wrapText="1"/>
    </xf>
    <xf numFmtId="3" fontId="136" fillId="74" borderId="41" xfId="58923" applyNumberFormat="1" applyFont="1" applyFill="1" applyBorder="1" applyAlignment="1">
      <alignment horizontal="center" vertical="center" wrapText="1"/>
    </xf>
    <xf numFmtId="3" fontId="136" fillId="74" borderId="13" xfId="58923" applyNumberFormat="1" applyFont="1" applyFill="1" applyBorder="1" applyAlignment="1">
      <alignment horizontal="center" vertical="center" wrapText="1"/>
    </xf>
    <xf numFmtId="0" fontId="87" fillId="74" borderId="0" xfId="58923" applyFont="1" applyFill="1" applyAlignment="1">
      <alignment horizontal="left" vertical="center"/>
    </xf>
    <xf numFmtId="3" fontId="146" fillId="74" borderId="11" xfId="58923" applyNumberFormat="1" applyFont="1" applyFill="1" applyBorder="1" applyAlignment="1">
      <alignment horizontal="center" vertical="center" wrapText="1"/>
    </xf>
    <xf numFmtId="0" fontId="136" fillId="74" borderId="11" xfId="58923" applyFont="1" applyFill="1" applyBorder="1" applyAlignment="1">
      <alignment horizontal="center" vertical="center"/>
    </xf>
    <xf numFmtId="171" fontId="136" fillId="74" borderId="34" xfId="58923" applyNumberFormat="1" applyFont="1" applyFill="1" applyBorder="1" applyAlignment="1">
      <alignment horizontal="left" vertical="center" wrapText="1"/>
    </xf>
    <xf numFmtId="0" fontId="87" fillId="74" borderId="0" xfId="58923" applyFont="1" applyFill="1" applyBorder="1" applyAlignment="1">
      <alignment horizontal="left" vertical="center"/>
    </xf>
    <xf numFmtId="0" fontId="136" fillId="74" borderId="0" xfId="58923" applyFont="1" applyFill="1" applyBorder="1" applyAlignment="1">
      <alignment horizontal="left" vertical="center" wrapText="1"/>
    </xf>
    <xf numFmtId="0" fontId="136" fillId="74" borderId="34" xfId="58923" applyFont="1" applyFill="1" applyBorder="1" applyAlignment="1">
      <alignment horizontal="left" vertical="center"/>
    </xf>
    <xf numFmtId="0" fontId="136" fillId="74" borderId="11" xfId="58923" applyFont="1" applyFill="1" applyBorder="1" applyAlignment="1">
      <alignment horizontal="left" vertical="center"/>
    </xf>
    <xf numFmtId="3" fontId="134" fillId="74" borderId="0" xfId="58923" applyNumberFormat="1" applyFont="1" applyFill="1" applyBorder="1" applyAlignment="1">
      <alignment horizontal="center" vertical="center"/>
    </xf>
    <xf numFmtId="3" fontId="134" fillId="74" borderId="0" xfId="58923" applyNumberFormat="1" applyFont="1" applyFill="1" applyBorder="1" applyAlignment="1">
      <alignment horizontal="right" vertical="center"/>
    </xf>
    <xf numFmtId="3" fontId="87" fillId="74" borderId="0" xfId="58923" applyNumberFormat="1" applyFont="1" applyFill="1" applyBorder="1" applyAlignment="1">
      <alignment horizontal="center" vertical="center"/>
    </xf>
    <xf numFmtId="0" fontId="134" fillId="74" borderId="0" xfId="58923" applyFont="1" applyFill="1" applyBorder="1" applyAlignment="1">
      <alignment horizontal="center" vertical="center"/>
    </xf>
    <xf numFmtId="0" fontId="87" fillId="74" borderId="0" xfId="58923" applyFont="1" applyFill="1" applyBorder="1" applyAlignment="1">
      <alignment horizontal="center" vertical="center"/>
    </xf>
    <xf numFmtId="0" fontId="134" fillId="74" borderId="11" xfId="58923" applyFont="1" applyFill="1" applyBorder="1" applyAlignment="1">
      <alignment horizontal="left" vertical="center"/>
    </xf>
    <xf numFmtId="0" fontId="134" fillId="74" borderId="11" xfId="58923" applyFont="1" applyFill="1" applyBorder="1" applyAlignment="1">
      <alignment horizontal="center" vertical="center"/>
    </xf>
    <xf numFmtId="0" fontId="45" fillId="74" borderId="0" xfId="61317" applyFont="1" applyFill="1" applyAlignment="1">
      <alignment horizontal="center" vertical="center"/>
    </xf>
    <xf numFmtId="0" fontId="97" fillId="74" borderId="14" xfId="61320" applyFont="1" applyFill="1" applyBorder="1" applyAlignment="1">
      <alignment horizontal="left" vertical="center" wrapText="1"/>
    </xf>
    <xf numFmtId="0" fontId="45" fillId="74" borderId="14" xfId="61320" applyFont="1" applyFill="1" applyBorder="1" applyAlignment="1">
      <alignment horizontal="left" vertical="center" wrapText="1"/>
    </xf>
    <xf numFmtId="0" fontId="45" fillId="74" borderId="0" xfId="61317" applyFont="1" applyFill="1" applyAlignment="1">
      <alignment horizontal="left" vertical="center"/>
    </xf>
    <xf numFmtId="0" fontId="35" fillId="0" borderId="14" xfId="61321" applyFont="1" applyFill="1" applyBorder="1" applyAlignment="1">
      <alignment horizontal="left" wrapText="1"/>
    </xf>
    <xf numFmtId="0" fontId="35" fillId="0" borderId="16" xfId="61321" applyFont="1" applyFill="1" applyBorder="1" applyAlignment="1">
      <alignment horizontal="left" wrapText="1"/>
    </xf>
    <xf numFmtId="0" fontId="45" fillId="74" borderId="39" xfId="61320" applyFont="1" applyFill="1" applyBorder="1" applyAlignment="1">
      <alignment horizontal="left" vertical="center" wrapText="1"/>
    </xf>
    <xf numFmtId="0" fontId="45" fillId="74" borderId="0" xfId="61317" applyFont="1" applyFill="1" applyAlignment="1">
      <alignment horizontal="right" vertical="center"/>
    </xf>
    <xf numFmtId="3" fontId="45" fillId="74" borderId="0" xfId="61317" applyNumberFormat="1" applyFont="1" applyFill="1" applyAlignment="1">
      <alignment horizontal="center" vertical="center"/>
    </xf>
    <xf numFmtId="0" fontId="100" fillId="74" borderId="0" xfId="61320" applyFont="1" applyFill="1" applyAlignment="1">
      <alignment vertical="center"/>
    </xf>
    <xf numFmtId="0" fontId="100" fillId="74" borderId="0" xfId="61320" applyFont="1" applyFill="1" applyAlignment="1">
      <alignment horizontal="center" vertical="center"/>
    </xf>
    <xf numFmtId="3" fontId="100" fillId="74" borderId="0" xfId="61320" applyNumberFormat="1" applyFont="1" applyFill="1" applyAlignment="1">
      <alignment horizontal="center" vertical="center"/>
    </xf>
    <xf numFmtId="0" fontId="100" fillId="74" borderId="39" xfId="61320" applyFont="1" applyFill="1" applyBorder="1" applyAlignment="1">
      <alignment horizontal="center" vertical="center"/>
    </xf>
    <xf numFmtId="3" fontId="100" fillId="74" borderId="39" xfId="61320" applyNumberFormat="1" applyFont="1" applyFill="1" applyBorder="1" applyAlignment="1">
      <alignment horizontal="center" vertical="center"/>
    </xf>
    <xf numFmtId="3" fontId="100" fillId="74" borderId="11" xfId="61320" applyNumberFormat="1" applyFont="1" applyFill="1" applyBorder="1" applyAlignment="1">
      <alignment horizontal="center" vertical="center"/>
    </xf>
    <xf numFmtId="3" fontId="100" fillId="74" borderId="55" xfId="61320" applyNumberFormat="1" applyFont="1" applyFill="1" applyBorder="1" applyAlignment="1">
      <alignment horizontal="center" vertical="center"/>
    </xf>
    <xf numFmtId="0" fontId="100" fillId="74" borderId="0" xfId="61320" applyFont="1" applyFill="1" applyBorder="1" applyAlignment="1">
      <alignment horizontal="center" vertical="center"/>
    </xf>
    <xf numFmtId="0" fontId="100" fillId="74" borderId="0" xfId="61320" applyFont="1" applyFill="1" applyBorder="1" applyAlignment="1">
      <alignment horizontal="right" vertical="center"/>
    </xf>
    <xf numFmtId="3" fontId="100" fillId="74" borderId="0" xfId="61320" applyNumberFormat="1" applyFont="1" applyFill="1" applyBorder="1" applyAlignment="1">
      <alignment horizontal="center" vertical="center"/>
    </xf>
    <xf numFmtId="0" fontId="100" fillId="74" borderId="0" xfId="61320" applyFont="1" applyFill="1" applyBorder="1" applyAlignment="1">
      <alignment vertical="center"/>
    </xf>
    <xf numFmtId="0" fontId="121" fillId="74" borderId="0" xfId="61320" applyFont="1" applyFill="1" applyBorder="1" applyAlignment="1">
      <alignment vertical="center"/>
    </xf>
    <xf numFmtId="3" fontId="121" fillId="74" borderId="0" xfId="61320" applyNumberFormat="1" applyFont="1" applyFill="1" applyBorder="1" applyAlignment="1">
      <alignment horizontal="center" vertical="center"/>
    </xf>
    <xf numFmtId="0" fontId="45" fillId="74" borderId="14" xfId="61317" applyFont="1" applyFill="1" applyBorder="1" applyAlignment="1">
      <alignment horizontal="center" vertical="center" wrapText="1"/>
    </xf>
    <xf numFmtId="3" fontId="35" fillId="74" borderId="11" xfId="61317" applyNumberFormat="1" applyFont="1" applyFill="1" applyBorder="1" applyAlignment="1">
      <alignment vertical="center"/>
    </xf>
    <xf numFmtId="0" fontId="132" fillId="74" borderId="11" xfId="61317" applyFont="1" applyFill="1" applyBorder="1" applyAlignment="1">
      <alignment horizontal="center" vertical="center" wrapText="1"/>
    </xf>
    <xf numFmtId="3" fontId="45" fillId="74" borderId="11" xfId="61317" applyNumberFormat="1" applyFont="1" applyFill="1" applyBorder="1" applyAlignment="1">
      <alignment horizontal="center" vertical="center"/>
    </xf>
    <xf numFmtId="3" fontId="45" fillId="74" borderId="11" xfId="61317" applyNumberFormat="1" applyFont="1" applyFill="1" applyBorder="1" applyAlignment="1">
      <alignment horizontal="left" vertical="center"/>
    </xf>
    <xf numFmtId="0" fontId="97" fillId="74" borderId="36" xfId="58923" applyFont="1" applyFill="1" applyBorder="1" applyAlignment="1">
      <alignment horizontal="left" vertical="center"/>
    </xf>
    <xf numFmtId="3" fontId="111" fillId="74" borderId="34" xfId="58923" applyNumberFormat="1" applyFont="1" applyFill="1" applyBorder="1" applyAlignment="1">
      <alignment horizontal="center" vertical="center" wrapText="1"/>
    </xf>
    <xf numFmtId="3" fontId="145" fillId="74" borderId="16" xfId="58923" applyNumberFormat="1" applyFont="1" applyFill="1" applyBorder="1" applyAlignment="1">
      <alignment horizontal="center" vertical="center"/>
    </xf>
    <xf numFmtId="3" fontId="114" fillId="74" borderId="11" xfId="58923" applyNumberFormat="1" applyFont="1" applyFill="1" applyBorder="1" applyAlignment="1">
      <alignment vertical="center" wrapText="1"/>
    </xf>
    <xf numFmtId="3" fontId="136" fillId="74" borderId="39" xfId="58923" applyNumberFormat="1" applyFont="1" applyFill="1" applyBorder="1" applyAlignment="1">
      <alignment horizontal="center" vertical="center" wrapText="1"/>
    </xf>
    <xf numFmtId="0" fontId="136" fillId="74" borderId="39" xfId="58923" applyFont="1" applyFill="1" applyBorder="1" applyAlignment="1">
      <alignment horizontal="center" vertical="center"/>
    </xf>
    <xf numFmtId="0" fontId="136" fillId="74" borderId="43" xfId="58923" applyFont="1" applyFill="1" applyBorder="1" applyAlignment="1">
      <alignment horizontal="center" vertical="center"/>
    </xf>
    <xf numFmtId="0" fontId="136" fillId="74" borderId="56" xfId="58923" applyFont="1" applyFill="1" applyBorder="1" applyAlignment="1">
      <alignment horizontal="left" vertical="center" wrapText="1"/>
    </xf>
    <xf numFmtId="0" fontId="136" fillId="74" borderId="54" xfId="58923" applyFont="1" applyFill="1" applyBorder="1" applyAlignment="1">
      <alignment horizontal="left" vertical="center" wrapText="1"/>
    </xf>
    <xf numFmtId="3" fontId="136" fillId="74" borderId="44" xfId="58923" applyNumberFormat="1" applyFont="1" applyFill="1" applyBorder="1" applyAlignment="1">
      <alignment horizontal="center" vertical="center" wrapText="1"/>
    </xf>
    <xf numFmtId="3" fontId="136" fillId="74" borderId="54" xfId="58923" applyNumberFormat="1" applyFont="1" applyFill="1" applyBorder="1" applyAlignment="1">
      <alignment horizontal="center" vertical="center" wrapText="1"/>
    </xf>
    <xf numFmtId="3" fontId="136" fillId="74" borderId="45" xfId="58923" applyNumberFormat="1" applyFont="1" applyFill="1" applyBorder="1" applyAlignment="1">
      <alignment horizontal="center" vertical="center"/>
    </xf>
    <xf numFmtId="3" fontId="45" fillId="74" borderId="43" xfId="58923" applyNumberFormat="1" applyFont="1" applyFill="1" applyBorder="1" applyAlignment="1">
      <alignment horizontal="center" vertical="center" wrapText="1"/>
    </xf>
    <xf numFmtId="3" fontId="45" fillId="74" borderId="44" xfId="58923" applyNumberFormat="1" applyFont="1" applyFill="1" applyBorder="1" applyAlignment="1">
      <alignment horizontal="center" vertical="center" wrapText="1"/>
    </xf>
    <xf numFmtId="3" fontId="136" fillId="74" borderId="45" xfId="58923" applyNumberFormat="1" applyFont="1" applyFill="1" applyBorder="1" applyAlignment="1">
      <alignment horizontal="center" vertical="center" wrapText="1"/>
    </xf>
    <xf numFmtId="3" fontId="137" fillId="74" borderId="40" xfId="58923" applyNumberFormat="1" applyFont="1" applyFill="1" applyBorder="1" applyAlignment="1">
      <alignment horizontal="center" vertical="center" wrapText="1"/>
    </xf>
    <xf numFmtId="3" fontId="137" fillId="74" borderId="41" xfId="58923" applyNumberFormat="1" applyFont="1" applyFill="1" applyBorder="1" applyAlignment="1">
      <alignment horizontal="center" vertical="center" wrapText="1"/>
    </xf>
    <xf numFmtId="3" fontId="136" fillId="74" borderId="43" xfId="58923" applyNumberFormat="1" applyFont="1" applyFill="1" applyBorder="1" applyAlignment="1">
      <alignment horizontal="center" vertical="center" wrapText="1"/>
    </xf>
    <xf numFmtId="3" fontId="136" fillId="74" borderId="57" xfId="58923" applyNumberFormat="1" applyFont="1" applyFill="1" applyBorder="1" applyAlignment="1">
      <alignment horizontal="center" vertical="center" wrapText="1"/>
    </xf>
    <xf numFmtId="3" fontId="137" fillId="74" borderId="45" xfId="58923" applyNumberFormat="1" applyFont="1" applyFill="1" applyBorder="1" applyAlignment="1">
      <alignment horizontal="center" vertical="center" wrapText="1"/>
    </xf>
    <xf numFmtId="0" fontId="45" fillId="74" borderId="42" xfId="61317" applyFont="1" applyFill="1" applyBorder="1" applyAlignment="1">
      <alignment horizontal="center" vertical="center" wrapText="1"/>
    </xf>
    <xf numFmtId="3" fontId="97" fillId="74" borderId="41" xfId="61317" applyNumberFormat="1" applyFont="1" applyFill="1" applyBorder="1" applyAlignment="1">
      <alignment horizontal="center" vertical="center" wrapText="1"/>
    </xf>
    <xf numFmtId="0" fontId="97" fillId="74" borderId="41" xfId="61317" applyFont="1" applyFill="1" applyBorder="1" applyAlignment="1">
      <alignment horizontal="center" vertical="center" wrapText="1"/>
    </xf>
    <xf numFmtId="3" fontId="45" fillId="74" borderId="41" xfId="61317" applyNumberFormat="1" applyFont="1" applyFill="1" applyBorder="1" applyAlignment="1">
      <alignment horizontal="center" vertical="center" wrapText="1"/>
    </xf>
    <xf numFmtId="0" fontId="45" fillId="74" borderId="44" xfId="61317" applyFont="1" applyFill="1" applyBorder="1" applyAlignment="1">
      <alignment horizontal="center" vertical="center" wrapText="1"/>
    </xf>
    <xf numFmtId="0" fontId="45" fillId="74" borderId="44" xfId="61320" applyFont="1" applyFill="1" applyBorder="1" applyAlignment="1">
      <alignment horizontal="left" vertical="center" wrapText="1"/>
    </xf>
    <xf numFmtId="3" fontId="100" fillId="74" borderId="11" xfId="61320" applyNumberFormat="1" applyFont="1" applyFill="1" applyBorder="1" applyAlignment="1">
      <alignment horizontal="center" vertical="center" wrapText="1" shrinkToFit="1"/>
    </xf>
    <xf numFmtId="0" fontId="100" fillId="74" borderId="11" xfId="61320" applyFont="1" applyFill="1" applyBorder="1" applyAlignment="1">
      <alignment horizontal="center" vertical="center"/>
    </xf>
    <xf numFmtId="0" fontId="121" fillId="74" borderId="11" xfId="61320" applyFont="1" applyFill="1" applyBorder="1" applyAlignment="1">
      <alignment vertical="center"/>
    </xf>
    <xf numFmtId="3" fontId="121" fillId="74" borderId="11" xfId="61320" applyNumberFormat="1" applyFont="1" applyFill="1" applyBorder="1" applyAlignment="1">
      <alignment horizontal="center" vertical="center"/>
    </xf>
    <xf numFmtId="3" fontId="100" fillId="74" borderId="11" xfId="61319" applyNumberFormat="1" applyFont="1" applyFill="1" applyBorder="1" applyAlignment="1">
      <alignment horizontal="left" vertical="center" wrapText="1"/>
    </xf>
    <xf numFmtId="3" fontId="100" fillId="74" borderId="11" xfId="58975" applyNumberFormat="1" applyFont="1" applyFill="1" applyBorder="1" applyAlignment="1">
      <alignment horizontal="left" vertical="center" wrapText="1"/>
    </xf>
    <xf numFmtId="1" fontId="100" fillId="74" borderId="11" xfId="61319" applyNumberFormat="1" applyFont="1" applyFill="1" applyBorder="1" applyAlignment="1">
      <alignment horizontal="left" vertical="center" wrapText="1"/>
    </xf>
    <xf numFmtId="3" fontId="100" fillId="74" borderId="11" xfId="61320" applyNumberFormat="1" applyFont="1" applyFill="1" applyBorder="1" applyAlignment="1">
      <alignment vertical="center" wrapText="1"/>
    </xf>
    <xf numFmtId="4" fontId="100" fillId="74" borderId="11" xfId="61319" applyNumberFormat="1" applyFont="1" applyFill="1" applyBorder="1" applyAlignment="1">
      <alignment horizontal="left" vertical="center" wrapText="1"/>
    </xf>
    <xf numFmtId="0" fontId="100" fillId="74" borderId="54" xfId="61320" applyFont="1" applyFill="1" applyBorder="1" applyAlignment="1">
      <alignment horizontal="center" vertical="center"/>
    </xf>
    <xf numFmtId="3" fontId="100" fillId="74" borderId="54" xfId="61319" applyNumberFormat="1" applyFont="1" applyFill="1" applyBorder="1" applyAlignment="1">
      <alignment horizontal="left" vertical="center" wrapText="1"/>
    </xf>
    <xf numFmtId="3" fontId="100" fillId="74" borderId="54" xfId="61320" applyNumberFormat="1" applyFont="1" applyFill="1" applyBorder="1" applyAlignment="1">
      <alignment horizontal="center" vertical="center"/>
    </xf>
    <xf numFmtId="3" fontId="121" fillId="74" borderId="15" xfId="61320" applyNumberFormat="1" applyFont="1" applyFill="1" applyBorder="1" applyAlignment="1">
      <alignment horizontal="center" vertical="center"/>
    </xf>
    <xf numFmtId="3" fontId="100" fillId="74" borderId="15" xfId="61320" applyNumberFormat="1" applyFont="1" applyFill="1" applyBorder="1" applyAlignment="1">
      <alignment horizontal="center" vertical="center"/>
    </xf>
    <xf numFmtId="3" fontId="100" fillId="74" borderId="61" xfId="61320" applyNumberFormat="1" applyFont="1" applyFill="1" applyBorder="1" applyAlignment="1">
      <alignment horizontal="center" vertical="center"/>
    </xf>
    <xf numFmtId="3" fontId="121" fillId="74" borderId="63" xfId="61320" applyNumberFormat="1" applyFont="1" applyFill="1" applyBorder="1" applyAlignment="1">
      <alignment horizontal="center" vertical="center"/>
    </xf>
    <xf numFmtId="3" fontId="100" fillId="74" borderId="63" xfId="61320" applyNumberFormat="1" applyFont="1" applyFill="1" applyBorder="1" applyAlignment="1">
      <alignment horizontal="center" vertical="center"/>
    </xf>
    <xf numFmtId="3" fontId="121" fillId="74" borderId="55" xfId="61320" applyNumberFormat="1" applyFont="1" applyFill="1" applyBorder="1" applyAlignment="1">
      <alignment horizontal="center" vertical="center"/>
    </xf>
    <xf numFmtId="3" fontId="100" fillId="74" borderId="64" xfId="61320" applyNumberFormat="1" applyFont="1" applyFill="1" applyBorder="1" applyAlignment="1">
      <alignment horizontal="center" vertical="center"/>
    </xf>
    <xf numFmtId="3" fontId="121" fillId="74" borderId="39" xfId="61320" applyNumberFormat="1" applyFont="1" applyFill="1" applyBorder="1" applyAlignment="1">
      <alignment horizontal="center" vertical="center"/>
    </xf>
    <xf numFmtId="49" fontId="37" fillId="74" borderId="11" xfId="3" applyNumberFormat="1" applyFont="1" applyFill="1" applyBorder="1" applyAlignment="1">
      <alignment horizontal="center" vertical="center"/>
    </xf>
    <xf numFmtId="49" fontId="37" fillId="74" borderId="11" xfId="3" applyNumberFormat="1" applyFont="1" applyFill="1" applyBorder="1" applyAlignment="1">
      <alignment horizontal="center" vertical="center" wrapText="1"/>
    </xf>
    <xf numFmtId="49" fontId="100" fillId="74" borderId="11" xfId="3" applyNumberFormat="1" applyFont="1" applyFill="1" applyBorder="1" applyAlignment="1">
      <alignment horizontal="center" vertical="center" wrapText="1"/>
    </xf>
    <xf numFmtId="0" fontId="37" fillId="74" borderId="11" xfId="3" applyFont="1" applyFill="1" applyBorder="1" applyAlignment="1">
      <alignment horizontal="center" vertical="center" wrapText="1"/>
    </xf>
    <xf numFmtId="0" fontId="35" fillId="0" borderId="11" xfId="3" applyFont="1" applyFill="1" applyBorder="1" applyAlignment="1">
      <alignment horizontal="left" vertical="center" wrapText="1"/>
    </xf>
    <xf numFmtId="0" fontId="25" fillId="0" borderId="0" xfId="59012"/>
    <xf numFmtId="0" fontId="41" fillId="0" borderId="11" xfId="59012" applyFont="1" applyBorder="1" applyAlignment="1">
      <alignment horizontal="center" vertical="center"/>
    </xf>
    <xf numFmtId="49" fontId="33" fillId="0" borderId="11" xfId="58921" applyNumberFormat="1" applyFont="1" applyBorder="1" applyAlignment="1">
      <alignment horizontal="center" vertical="center" wrapText="1"/>
    </xf>
    <xf numFmtId="0" fontId="43" fillId="0" borderId="11" xfId="58921" applyFont="1" applyBorder="1" applyAlignment="1">
      <alignment horizontal="left" vertical="center" wrapText="1"/>
    </xf>
    <xf numFmtId="0" fontId="33" fillId="0" borderId="11" xfId="58921" applyFont="1" applyBorder="1" applyAlignment="1">
      <alignment horizontal="center" vertical="center" wrapText="1"/>
    </xf>
    <xf numFmtId="49" fontId="33" fillId="0" borderId="11" xfId="58921" applyNumberFormat="1" applyFont="1" applyBorder="1" applyAlignment="1">
      <alignment horizontal="center" vertical="center"/>
    </xf>
    <xf numFmtId="0" fontId="33" fillId="0" borderId="11" xfId="58921" applyFont="1" applyBorder="1" applyAlignment="1">
      <alignment horizontal="left" vertical="center" wrapText="1"/>
    </xf>
    <xf numFmtId="49" fontId="41" fillId="0" borderId="11" xfId="58921" applyNumberFormat="1" applyFont="1" applyBorder="1" applyAlignment="1">
      <alignment horizontal="center" vertical="center" wrapText="1"/>
    </xf>
    <xf numFmtId="0" fontId="41" fillId="0" borderId="11" xfId="58921" applyFont="1" applyBorder="1" applyAlignment="1">
      <alignment horizontal="left" vertical="center" wrapText="1"/>
    </xf>
    <xf numFmtId="0" fontId="41" fillId="0" borderId="11" xfId="4" applyFont="1" applyBorder="1" applyAlignment="1">
      <alignment horizontal="center" vertical="center"/>
    </xf>
    <xf numFmtId="49" fontId="33" fillId="0" borderId="11" xfId="59012" applyNumberFormat="1" applyFont="1" applyBorder="1" applyAlignment="1">
      <alignment horizontal="center" vertical="center" wrapText="1"/>
    </xf>
    <xf numFmtId="0" fontId="43" fillId="0" borderId="11" xfId="59012" applyFont="1" applyBorder="1" applyAlignment="1">
      <alignment horizontal="left" vertical="center" wrapText="1"/>
    </xf>
    <xf numFmtId="49" fontId="41" fillId="0" borderId="11" xfId="58921" applyNumberFormat="1" applyFont="1" applyBorder="1" applyAlignment="1">
      <alignment horizontal="center" vertical="center"/>
    </xf>
    <xf numFmtId="0" fontId="41" fillId="74" borderId="11" xfId="58921" applyFont="1" applyFill="1" applyBorder="1" applyAlignment="1">
      <alignment horizontal="left" vertical="center" wrapText="1"/>
    </xf>
    <xf numFmtId="0" fontId="41" fillId="0" borderId="11" xfId="58975" applyFont="1" applyFill="1" applyBorder="1" applyAlignment="1">
      <alignment horizontal="left" vertical="center" wrapText="1"/>
    </xf>
    <xf numFmtId="49" fontId="33" fillId="0" borderId="11" xfId="59012" applyNumberFormat="1" applyFont="1" applyBorder="1" applyAlignment="1">
      <alignment horizontal="center" vertical="center"/>
    </xf>
    <xf numFmtId="0" fontId="33" fillId="0" borderId="11" xfId="59012" applyFont="1" applyBorder="1" applyAlignment="1">
      <alignment horizontal="left" vertical="center" wrapText="1"/>
    </xf>
    <xf numFmtId="49" fontId="33" fillId="0" borderId="11" xfId="58921" applyNumberFormat="1" applyFont="1" applyBorder="1" applyAlignment="1">
      <alignment horizontal="left" vertical="center" wrapText="1"/>
    </xf>
    <xf numFmtId="49" fontId="45" fillId="0" borderId="11" xfId="58921" applyNumberFormat="1" applyFont="1" applyBorder="1" applyAlignment="1">
      <alignment horizontal="center" vertical="center"/>
    </xf>
    <xf numFmtId="0" fontId="45" fillId="0" borderId="11" xfId="58921" applyFont="1" applyBorder="1" applyAlignment="1">
      <alignment horizontal="left" vertical="center" wrapText="1"/>
    </xf>
    <xf numFmtId="3" fontId="41" fillId="0" borderId="11" xfId="58921" applyNumberFormat="1" applyFont="1" applyBorder="1" applyAlignment="1">
      <alignment horizontal="center" vertical="center"/>
    </xf>
    <xf numFmtId="3" fontId="43" fillId="0" borderId="11" xfId="59012" applyNumberFormat="1" applyFont="1" applyBorder="1" applyAlignment="1">
      <alignment horizontal="left" vertical="center" wrapText="1"/>
    </xf>
    <xf numFmtId="170" fontId="41" fillId="0" borderId="11" xfId="58921" applyNumberFormat="1" applyFont="1" applyBorder="1" applyAlignment="1">
      <alignment horizontal="center" vertical="center"/>
    </xf>
    <xf numFmtId="3" fontId="41" fillId="0" borderId="11" xfId="59012" applyNumberFormat="1" applyFont="1" applyBorder="1" applyAlignment="1">
      <alignment horizontal="left" vertical="center" wrapText="1"/>
    </xf>
    <xf numFmtId="0" fontId="41" fillId="0" borderId="11" xfId="59012" applyFont="1" applyBorder="1" applyAlignment="1">
      <alignment horizontal="left" vertical="center"/>
    </xf>
    <xf numFmtId="3" fontId="25" fillId="0" borderId="0" xfId="59012" applyNumberFormat="1"/>
    <xf numFmtId="0" fontId="100" fillId="0" borderId="68" xfId="0" applyFont="1" applyFill="1" applyBorder="1" applyAlignment="1">
      <alignment horizontal="center" vertical="center" wrapText="1"/>
    </xf>
    <xf numFmtId="0" fontId="100" fillId="0" borderId="31" xfId="0" applyFont="1" applyFill="1" applyBorder="1" applyAlignment="1">
      <alignment horizontal="center" vertical="center" wrapText="1"/>
    </xf>
    <xf numFmtId="0" fontId="100" fillId="0" borderId="69" xfId="0" applyFont="1" applyFill="1" applyBorder="1" applyAlignment="1">
      <alignment horizontal="center" vertical="center" wrapText="1"/>
    </xf>
    <xf numFmtId="3" fontId="100" fillId="0" borderId="68" xfId="0" applyNumberFormat="1" applyFont="1" applyFill="1" applyBorder="1" applyAlignment="1">
      <alignment horizontal="center" vertical="center"/>
    </xf>
    <xf numFmtId="3" fontId="100" fillId="0" borderId="31" xfId="0" applyNumberFormat="1" applyFont="1" applyFill="1" applyBorder="1" applyAlignment="1">
      <alignment horizontal="center" vertical="center"/>
    </xf>
    <xf numFmtId="3" fontId="100" fillId="0" borderId="38" xfId="0" applyNumberFormat="1" applyFont="1" applyFill="1" applyBorder="1" applyAlignment="1">
      <alignment horizontal="center" vertical="center"/>
    </xf>
    <xf numFmtId="3" fontId="38" fillId="0" borderId="49" xfId="0" applyNumberFormat="1" applyFont="1" applyFill="1" applyBorder="1" applyAlignment="1">
      <alignment horizontal="center" vertical="center"/>
    </xf>
    <xf numFmtId="3" fontId="38" fillId="0" borderId="48" xfId="0" applyNumberFormat="1" applyFont="1" applyFill="1" applyBorder="1" applyAlignment="1">
      <alignment horizontal="center" vertical="center"/>
    </xf>
    <xf numFmtId="3" fontId="38" fillId="0" borderId="51" xfId="0" applyNumberFormat="1" applyFont="1" applyFill="1" applyBorder="1" applyAlignment="1">
      <alignment horizontal="center" vertical="center"/>
    </xf>
    <xf numFmtId="3" fontId="38" fillId="0" borderId="67" xfId="0" applyNumberFormat="1" applyFont="1" applyFill="1" applyBorder="1" applyAlignment="1">
      <alignment horizontal="center" vertical="center"/>
    </xf>
    <xf numFmtId="3" fontId="41" fillId="0" borderId="39" xfId="0" applyNumberFormat="1" applyFont="1" applyFill="1" applyBorder="1" applyAlignment="1">
      <alignment horizontal="center" vertical="center"/>
    </xf>
    <xf numFmtId="3" fontId="41" fillId="0" borderId="11" xfId="0" applyNumberFormat="1" applyFont="1" applyFill="1" applyBorder="1" applyAlignment="1">
      <alignment horizontal="center" vertical="center"/>
    </xf>
    <xf numFmtId="3" fontId="33" fillId="0" borderId="11" xfId="58940" applyNumberFormat="1" applyFont="1" applyFill="1" applyBorder="1" applyAlignment="1">
      <alignment horizontal="center" vertical="center" wrapText="1"/>
    </xf>
    <xf numFmtId="3" fontId="43" fillId="0" borderId="15" xfId="58940" applyNumberFormat="1" applyFont="1" applyFill="1" applyBorder="1" applyAlignment="1">
      <alignment horizontal="left" vertical="center" wrapText="1"/>
    </xf>
    <xf numFmtId="3" fontId="33" fillId="0" borderId="11" xfId="58940" applyNumberFormat="1" applyFont="1" applyFill="1" applyBorder="1" applyAlignment="1">
      <alignment horizontal="center" vertical="center"/>
    </xf>
    <xf numFmtId="3" fontId="33" fillId="0" borderId="15" xfId="58940" applyNumberFormat="1" applyFont="1" applyFill="1" applyBorder="1" applyAlignment="1">
      <alignment horizontal="left" vertical="center" wrapText="1"/>
    </xf>
    <xf numFmtId="3" fontId="41" fillId="0" borderId="15" xfId="58940" applyNumberFormat="1" applyFont="1" applyFill="1" applyBorder="1" applyAlignment="1">
      <alignment horizontal="left" vertical="center" wrapText="1"/>
    </xf>
    <xf numFmtId="49" fontId="33" fillId="0" borderId="11" xfId="58940" applyNumberFormat="1" applyFont="1" applyFill="1" applyBorder="1" applyAlignment="1">
      <alignment horizontal="center" vertical="center"/>
    </xf>
    <xf numFmtId="0" fontId="43" fillId="0" borderId="15" xfId="58940" applyFont="1" applyFill="1" applyBorder="1" applyAlignment="1">
      <alignment horizontal="left" vertical="center" wrapText="1"/>
    </xf>
    <xf numFmtId="49" fontId="33" fillId="0" borderId="11" xfId="58940" applyNumberFormat="1" applyFont="1" applyFill="1" applyBorder="1" applyAlignment="1">
      <alignment horizontal="center" vertical="center" wrapText="1"/>
    </xf>
    <xf numFmtId="0" fontId="33" fillId="0" borderId="15" xfId="58940" applyFont="1" applyFill="1" applyBorder="1" applyAlignment="1">
      <alignment horizontal="left" vertical="center" wrapText="1"/>
    </xf>
    <xf numFmtId="3" fontId="43" fillId="0" borderId="15" xfId="0" applyNumberFormat="1" applyFont="1" applyFill="1" applyBorder="1" applyAlignment="1">
      <alignment horizontal="left" vertical="center" wrapText="1"/>
    </xf>
    <xf numFmtId="0" fontId="41" fillId="0" borderId="15" xfId="58940" applyFont="1" applyFill="1" applyBorder="1" applyAlignment="1">
      <alignment horizontal="left" vertical="center" wrapText="1"/>
    </xf>
    <xf numFmtId="0" fontId="41" fillId="0" borderId="11" xfId="58940" applyFont="1" applyFill="1" applyBorder="1" applyAlignment="1">
      <alignment horizontal="center" vertical="center" wrapText="1"/>
    </xf>
    <xf numFmtId="0" fontId="38" fillId="0" borderId="15" xfId="58940" applyFont="1" applyFill="1" applyBorder="1" applyAlignment="1">
      <alignment horizontal="left" vertical="center" wrapText="1"/>
    </xf>
    <xf numFmtId="4" fontId="41" fillId="0" borderId="15" xfId="58975" applyNumberFormat="1" applyFont="1" applyFill="1" applyBorder="1" applyAlignment="1">
      <alignment horizontal="left" vertical="center" wrapText="1"/>
    </xf>
    <xf numFmtId="3" fontId="33" fillId="0" borderId="15" xfId="0" applyNumberFormat="1" applyFont="1" applyFill="1" applyBorder="1" applyAlignment="1">
      <alignment horizontal="left" vertical="center" wrapText="1"/>
    </xf>
    <xf numFmtId="3" fontId="33" fillId="0" borderId="31" xfId="58940" applyNumberFormat="1" applyFont="1" applyFill="1" applyBorder="1" applyAlignment="1">
      <alignment horizontal="center" vertical="center"/>
    </xf>
    <xf numFmtId="3" fontId="33" fillId="0" borderId="69" xfId="58940" applyNumberFormat="1" applyFont="1" applyFill="1" applyBorder="1" applyAlignment="1">
      <alignment horizontal="left" vertical="center" wrapText="1"/>
    </xf>
    <xf numFmtId="3" fontId="41" fillId="0" borderId="11" xfId="58940" applyNumberFormat="1" applyFont="1" applyFill="1" applyBorder="1" applyAlignment="1">
      <alignment horizontal="center" vertical="center"/>
    </xf>
    <xf numFmtId="170" fontId="41" fillId="0" borderId="11" xfId="58940" applyNumberFormat="1" applyFont="1" applyFill="1" applyBorder="1" applyAlignment="1">
      <alignment horizontal="center" vertical="center"/>
    </xf>
    <xf numFmtId="3" fontId="41" fillId="0" borderId="15" xfId="0" applyNumberFormat="1" applyFont="1" applyFill="1" applyBorder="1" applyAlignment="1">
      <alignment horizontal="left" vertical="center" wrapText="1"/>
    </xf>
    <xf numFmtId="3" fontId="41" fillId="0" borderId="31" xfId="58940" applyNumberFormat="1" applyFont="1" applyFill="1" applyBorder="1" applyAlignment="1">
      <alignment horizontal="center" vertical="center"/>
    </xf>
    <xf numFmtId="3" fontId="43" fillId="0" borderId="69" xfId="0" applyNumberFormat="1" applyFont="1" applyFill="1" applyBorder="1" applyAlignment="1">
      <alignment horizontal="left" vertical="center" wrapText="1"/>
    </xf>
    <xf numFmtId="0" fontId="41" fillId="0" borderId="60" xfId="0" applyFont="1" applyFill="1" applyBorder="1" applyAlignment="1">
      <alignment horizontal="center" vertical="center"/>
    </xf>
    <xf numFmtId="0" fontId="41" fillId="0" borderId="54" xfId="0" applyFont="1" applyFill="1" applyBorder="1" applyAlignment="1">
      <alignment horizontal="center" vertical="center"/>
    </xf>
    <xf numFmtId="0" fontId="41" fillId="0" borderId="61" xfId="0" applyFont="1" applyFill="1" applyBorder="1" applyAlignment="1">
      <alignment horizontal="left" vertical="center"/>
    </xf>
    <xf numFmtId="0" fontId="45" fillId="74" borderId="0" xfId="61329" applyFont="1" applyFill="1" applyAlignment="1">
      <alignment horizontal="center" vertical="center"/>
    </xf>
    <xf numFmtId="0" fontId="45" fillId="74" borderId="11" xfId="61329" applyFont="1" applyFill="1" applyBorder="1" applyAlignment="1">
      <alignment horizontal="center" vertical="center" wrapText="1"/>
    </xf>
    <xf numFmtId="0" fontId="97" fillId="74" borderId="11" xfId="61330" applyFont="1" applyFill="1" applyBorder="1" applyAlignment="1">
      <alignment horizontal="left" vertical="center" wrapText="1"/>
    </xf>
    <xf numFmtId="3" fontId="97" fillId="74" borderId="11" xfId="61329" applyNumberFormat="1" applyFont="1" applyFill="1" applyBorder="1" applyAlignment="1">
      <alignment horizontal="center" vertical="center" wrapText="1"/>
    </xf>
    <xf numFmtId="0" fontId="97" fillId="74" borderId="11" xfId="61329" applyFont="1" applyFill="1" applyBorder="1" applyAlignment="1">
      <alignment horizontal="center" vertical="center" wrapText="1"/>
    </xf>
    <xf numFmtId="0" fontId="45" fillId="74" borderId="11" xfId="61330" applyFont="1" applyFill="1" applyBorder="1" applyAlignment="1">
      <alignment horizontal="left" vertical="center" wrapText="1"/>
    </xf>
    <xf numFmtId="3" fontId="45" fillId="74" borderId="11" xfId="61329" applyNumberFormat="1" applyFont="1" applyFill="1" applyBorder="1" applyAlignment="1">
      <alignment horizontal="center" vertical="center" wrapText="1"/>
    </xf>
    <xf numFmtId="0" fontId="45" fillId="74" borderId="0" xfId="61329" applyFont="1" applyFill="1" applyAlignment="1">
      <alignment horizontal="right" vertical="center"/>
    </xf>
    <xf numFmtId="3" fontId="45" fillId="74" borderId="0" xfId="61329" applyNumberFormat="1" applyFont="1" applyFill="1" applyAlignment="1">
      <alignment horizontal="center" vertical="center"/>
    </xf>
    <xf numFmtId="0" fontId="45" fillId="74" borderId="0" xfId="61329" applyFont="1" applyFill="1" applyAlignment="1">
      <alignment horizontal="left" vertical="center"/>
    </xf>
    <xf numFmtId="0" fontId="41" fillId="0" borderId="11" xfId="59012" applyFont="1" applyFill="1" applyBorder="1" applyAlignment="1">
      <alignment horizontal="center" vertical="center"/>
    </xf>
    <xf numFmtId="0" fontId="43" fillId="0" borderId="11" xfId="58940" applyFont="1" applyFill="1" applyBorder="1" applyAlignment="1">
      <alignment horizontal="left" vertical="center" wrapText="1"/>
    </xf>
    <xf numFmtId="0" fontId="33" fillId="0" borderId="11" xfId="58940" applyFont="1" applyFill="1" applyBorder="1" applyAlignment="1">
      <alignment horizontal="center" vertical="center" wrapText="1"/>
    </xf>
    <xf numFmtId="0" fontId="33" fillId="0" borderId="11" xfId="58940" applyFont="1" applyFill="1" applyBorder="1" applyAlignment="1">
      <alignment horizontal="left" vertical="center" wrapText="1"/>
    </xf>
    <xf numFmtId="49" fontId="41" fillId="0" borderId="11" xfId="58940" applyNumberFormat="1" applyFont="1" applyFill="1" applyBorder="1" applyAlignment="1">
      <alignment horizontal="center" vertical="center" wrapText="1"/>
    </xf>
    <xf numFmtId="0" fontId="41" fillId="0" borderId="11" xfId="58940" applyFont="1" applyFill="1" applyBorder="1" applyAlignment="1">
      <alignment horizontal="left" vertical="center" wrapText="1"/>
    </xf>
    <xf numFmtId="49" fontId="33" fillId="0" borderId="11" xfId="59012" applyNumberFormat="1" applyFont="1" applyFill="1" applyBorder="1" applyAlignment="1">
      <alignment horizontal="center" vertical="center" wrapText="1"/>
    </xf>
    <xf numFmtId="0" fontId="43" fillId="0" borderId="11" xfId="59012" applyFont="1" applyFill="1" applyBorder="1" applyAlignment="1">
      <alignment horizontal="left" vertical="center" wrapText="1"/>
    </xf>
    <xf numFmtId="49" fontId="33" fillId="0" borderId="11" xfId="59012" applyNumberFormat="1" applyFont="1" applyFill="1" applyBorder="1" applyAlignment="1">
      <alignment horizontal="center" vertical="center"/>
    </xf>
    <xf numFmtId="0" fontId="33" fillId="0" borderId="11" xfId="59012" applyFont="1" applyFill="1" applyBorder="1" applyAlignment="1">
      <alignment horizontal="left" vertical="center" wrapText="1"/>
    </xf>
    <xf numFmtId="49" fontId="33" fillId="0" borderId="11" xfId="58940" applyNumberFormat="1" applyFont="1" applyFill="1" applyBorder="1" applyAlignment="1">
      <alignment horizontal="left" vertical="center" wrapText="1"/>
    </xf>
    <xf numFmtId="3" fontId="43" fillId="0" borderId="11" xfId="59012" applyNumberFormat="1" applyFont="1" applyFill="1" applyBorder="1" applyAlignment="1">
      <alignment horizontal="left" vertical="center" wrapText="1"/>
    </xf>
    <xf numFmtId="3" fontId="41" fillId="0" borderId="11" xfId="59012" applyNumberFormat="1" applyFont="1" applyFill="1" applyBorder="1" applyAlignment="1">
      <alignment horizontal="left" vertical="center" wrapText="1"/>
    </xf>
    <xf numFmtId="3" fontId="43" fillId="0" borderId="31" xfId="59012" applyNumberFormat="1" applyFont="1" applyFill="1" applyBorder="1" applyAlignment="1">
      <alignment horizontal="left" vertical="center" wrapText="1"/>
    </xf>
    <xf numFmtId="0" fontId="41" fillId="0" borderId="11" xfId="59012" applyFont="1" applyFill="1" applyBorder="1" applyAlignment="1">
      <alignment horizontal="left" vertical="center"/>
    </xf>
    <xf numFmtId="49" fontId="33" fillId="0" borderId="11" xfId="58921" applyNumberFormat="1" applyFont="1" applyFill="1" applyBorder="1" applyAlignment="1">
      <alignment horizontal="center" vertical="center" wrapText="1"/>
    </xf>
    <xf numFmtId="0" fontId="43" fillId="0" borderId="11" xfId="58921" applyFont="1" applyFill="1" applyBorder="1" applyAlignment="1">
      <alignment horizontal="left" vertical="center" wrapText="1"/>
    </xf>
    <xf numFmtId="0" fontId="33" fillId="0" borderId="11" xfId="58921" applyFont="1" applyFill="1" applyBorder="1" applyAlignment="1">
      <alignment horizontal="center" vertical="center" wrapText="1"/>
    </xf>
    <xf numFmtId="49" fontId="33" fillId="0" borderId="11" xfId="58921" applyNumberFormat="1" applyFont="1" applyFill="1" applyBorder="1" applyAlignment="1">
      <alignment horizontal="center" vertical="center"/>
    </xf>
    <xf numFmtId="0" fontId="33" fillId="0" borderId="11" xfId="58921" applyFont="1" applyFill="1" applyBorder="1" applyAlignment="1">
      <alignment horizontal="left" vertical="center" wrapText="1"/>
    </xf>
    <xf numFmtId="49" fontId="41" fillId="0" borderId="11" xfId="58921" applyNumberFormat="1" applyFont="1" applyFill="1" applyBorder="1" applyAlignment="1">
      <alignment horizontal="center" vertical="center" wrapText="1"/>
    </xf>
    <xf numFmtId="49" fontId="41" fillId="0" borderId="11" xfId="58921" applyNumberFormat="1" applyFont="1" applyFill="1" applyBorder="1" applyAlignment="1">
      <alignment horizontal="center" vertical="center"/>
    </xf>
    <xf numFmtId="49" fontId="33" fillId="0" borderId="11" xfId="58921" applyNumberFormat="1" applyFont="1" applyFill="1" applyBorder="1" applyAlignment="1">
      <alignment horizontal="left" vertical="center" wrapText="1"/>
    </xf>
    <xf numFmtId="49" fontId="45" fillId="0" borderId="11" xfId="58921" applyNumberFormat="1" applyFont="1" applyFill="1" applyBorder="1" applyAlignment="1">
      <alignment horizontal="center" vertical="center"/>
    </xf>
    <xf numFmtId="0" fontId="45" fillId="0" borderId="11" xfId="58921" applyFont="1" applyFill="1" applyBorder="1" applyAlignment="1">
      <alignment horizontal="left" vertical="center" wrapText="1"/>
    </xf>
    <xf numFmtId="3" fontId="43" fillId="0" borderId="11" xfId="57801" applyNumberFormat="1" applyFont="1" applyFill="1" applyBorder="1" applyAlignment="1">
      <alignment horizontal="left" vertical="center" wrapText="1"/>
    </xf>
    <xf numFmtId="3" fontId="41" fillId="0" borderId="11" xfId="57801" applyNumberFormat="1" applyFont="1" applyFill="1" applyBorder="1" applyAlignment="1">
      <alignment horizontal="left" vertical="center" wrapText="1"/>
    </xf>
    <xf numFmtId="0" fontId="41" fillId="0" borderId="11" xfId="57801" applyFont="1" applyFill="1" applyBorder="1" applyAlignment="1">
      <alignment horizontal="center" vertical="center"/>
    </xf>
    <xf numFmtId="0" fontId="41" fillId="0" borderId="11" xfId="57801" applyFont="1" applyFill="1" applyBorder="1" applyAlignment="1">
      <alignment horizontal="left" vertical="center"/>
    </xf>
    <xf numFmtId="0" fontId="35" fillId="0" borderId="0" xfId="59012" applyFont="1" applyAlignment="1">
      <alignment horizontal="center" vertical="center"/>
    </xf>
    <xf numFmtId="0" fontId="111" fillId="0" borderId="10" xfId="59012" applyFont="1" applyBorder="1" applyAlignment="1">
      <alignment vertical="center"/>
    </xf>
    <xf numFmtId="0" fontId="35" fillId="0" borderId="0" xfId="59012" applyFont="1" applyAlignment="1">
      <alignment horizontal="center"/>
    </xf>
    <xf numFmtId="0" fontId="35" fillId="0" borderId="0" xfId="59012" applyFont="1"/>
    <xf numFmtId="0" fontId="100" fillId="74" borderId="0" xfId="59012" applyFont="1" applyFill="1" applyAlignment="1" applyProtection="1">
      <alignment horizontal="center" vertical="center"/>
      <protection locked="0"/>
    </xf>
    <xf numFmtId="0" fontId="121" fillId="74" borderId="15" xfId="59012" applyFont="1" applyFill="1" applyBorder="1" applyAlignment="1" applyProtection="1">
      <alignment horizontal="center" vertical="center" wrapText="1"/>
      <protection locked="0"/>
    </xf>
    <xf numFmtId="0" fontId="121" fillId="74" borderId="11" xfId="59012" applyFont="1" applyFill="1" applyBorder="1" applyAlignment="1" applyProtection="1">
      <alignment horizontal="center" vertical="center" wrapText="1"/>
      <protection locked="0"/>
    </xf>
    <xf numFmtId="0" fontId="100" fillId="74" borderId="0" xfId="59012" applyFont="1" applyFill="1" applyProtection="1">
      <protection locked="0"/>
    </xf>
    <xf numFmtId="0" fontId="41" fillId="74" borderId="0" xfId="59012" applyFont="1" applyFill="1" applyAlignment="1" applyProtection="1">
      <alignment horizontal="center" vertical="center"/>
      <protection locked="0"/>
    </xf>
    <xf numFmtId="0" fontId="38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41" fillId="74" borderId="0" xfId="59012" applyFont="1" applyFill="1" applyProtection="1">
      <protection locked="0"/>
    </xf>
    <xf numFmtId="0" fontId="41" fillId="0" borderId="0" xfId="59012" applyFont="1" applyAlignment="1" applyProtection="1">
      <alignment horizontal="center" vertical="center"/>
      <protection locked="0"/>
    </xf>
    <xf numFmtId="0" fontId="41" fillId="74" borderId="11" xfId="59012" applyFont="1" applyFill="1" applyBorder="1" applyAlignment="1" applyProtection="1">
      <alignment horizontal="center" vertical="center" wrapText="1"/>
      <protection locked="0"/>
    </xf>
    <xf numFmtId="0" fontId="41" fillId="0" borderId="11" xfId="59012" applyFont="1" applyBorder="1" applyAlignment="1" applyProtection="1">
      <alignment horizontal="center" vertical="center" wrapText="1"/>
      <protection locked="0"/>
    </xf>
    <xf numFmtId="0" fontId="41" fillId="0" borderId="0" xfId="59012" applyFont="1" applyProtection="1">
      <protection locked="0"/>
    </xf>
    <xf numFmtId="0" fontId="38" fillId="0" borderId="0" xfId="59012" applyFont="1" applyAlignment="1" applyProtection="1">
      <alignment horizontal="center" vertical="center"/>
      <protection locked="0"/>
    </xf>
    <xf numFmtId="3" fontId="38" fillId="75" borderId="11" xfId="59012" applyNumberFormat="1" applyFont="1" applyFill="1" applyBorder="1" applyAlignment="1" applyProtection="1">
      <alignment horizontal="center" vertical="center"/>
      <protection locked="0"/>
    </xf>
    <xf numFmtId="0" fontId="38" fillId="0" borderId="0" xfId="59012" applyFont="1" applyProtection="1">
      <protection locked="0"/>
    </xf>
    <xf numFmtId="0" fontId="41" fillId="74" borderId="11" xfId="59012" applyFont="1" applyFill="1" applyBorder="1" applyAlignment="1" applyProtection="1">
      <alignment vertical="center" wrapText="1"/>
      <protection locked="0"/>
    </xf>
    <xf numFmtId="3" fontId="41" fillId="0" borderId="11" xfId="59012" applyNumberFormat="1" applyFont="1" applyBorder="1" applyAlignment="1" applyProtection="1">
      <alignment vertical="center" wrapText="1"/>
      <protection locked="0"/>
    </xf>
    <xf numFmtId="3" fontId="41" fillId="74" borderId="31" xfId="59012" applyNumberFormat="1" applyFont="1" applyFill="1" applyBorder="1" applyAlignment="1" applyProtection="1">
      <alignment horizontal="center" vertical="center"/>
      <protection locked="0"/>
    </xf>
    <xf numFmtId="3" fontId="41" fillId="74" borderId="11" xfId="59012" applyNumberFormat="1" applyFont="1" applyFill="1" applyBorder="1" applyAlignment="1" applyProtection="1">
      <alignment horizontal="center" vertical="center"/>
      <protection locked="0"/>
    </xf>
    <xf numFmtId="0" fontId="41" fillId="0" borderId="11" xfId="59012" applyFont="1" applyBorder="1" applyAlignment="1" applyProtection="1">
      <alignment horizontal="center"/>
      <protection locked="0"/>
    </xf>
    <xf numFmtId="3" fontId="41" fillId="0" borderId="31" xfId="59012" applyNumberFormat="1" applyFont="1" applyBorder="1" applyAlignment="1" applyProtection="1">
      <alignment horizontal="center" vertical="center"/>
      <protection locked="0"/>
    </xf>
    <xf numFmtId="3" fontId="41" fillId="0" borderId="11" xfId="59012" applyNumberFormat="1" applyFont="1" applyBorder="1" applyAlignment="1" applyProtection="1">
      <alignment horizontal="center"/>
      <protection locked="0"/>
    </xf>
    <xf numFmtId="3" fontId="41" fillId="74" borderId="11" xfId="59012" applyNumberFormat="1" applyFont="1" applyFill="1" applyBorder="1" applyAlignment="1" applyProtection="1">
      <alignment vertical="center"/>
      <protection locked="0"/>
    </xf>
    <xf numFmtId="0" fontId="41" fillId="74" borderId="11" xfId="59012" applyFont="1" applyFill="1" applyBorder="1" applyAlignment="1" applyProtection="1">
      <alignment horizontal="center"/>
      <protection locked="0"/>
    </xf>
    <xf numFmtId="3" fontId="41" fillId="74" borderId="12" xfId="59012" applyNumberFormat="1" applyFont="1" applyFill="1" applyBorder="1" applyAlignment="1" applyProtection="1">
      <alignment horizontal="center" vertical="center"/>
      <protection locked="0"/>
    </xf>
    <xf numFmtId="3" fontId="41" fillId="74" borderId="12" xfId="59012" applyNumberFormat="1" applyFont="1" applyFill="1" applyBorder="1" applyAlignment="1" applyProtection="1">
      <alignment vertical="center"/>
      <protection locked="0"/>
    </xf>
    <xf numFmtId="3" fontId="41" fillId="0" borderId="11" xfId="59012" applyNumberFormat="1" applyFont="1" applyFill="1" applyBorder="1" applyAlignment="1" applyProtection="1">
      <alignment horizontal="center" vertical="center"/>
      <protection locked="0"/>
    </xf>
    <xf numFmtId="3" fontId="41" fillId="74" borderId="31" xfId="59012" applyNumberFormat="1" applyFont="1" applyFill="1" applyBorder="1" applyAlignment="1" applyProtection="1">
      <alignment vertical="center"/>
      <protection locked="0"/>
    </xf>
    <xf numFmtId="3" fontId="41" fillId="0" borderId="12" xfId="59012" applyNumberFormat="1" applyFont="1" applyFill="1" applyBorder="1" applyAlignment="1" applyProtection="1">
      <alignment horizontal="center" vertical="center"/>
      <protection locked="0"/>
    </xf>
    <xf numFmtId="3" fontId="41" fillId="0" borderId="31" xfId="59012" applyNumberFormat="1" applyFont="1" applyFill="1" applyBorder="1" applyAlignment="1" applyProtection="1">
      <alignment horizontal="center" vertical="center"/>
      <protection locked="0"/>
    </xf>
    <xf numFmtId="0" fontId="41" fillId="0" borderId="11" xfId="59012" applyFont="1" applyFill="1" applyBorder="1" applyAlignment="1" applyProtection="1">
      <alignment vertical="center" wrapText="1"/>
      <protection locked="0"/>
    </xf>
    <xf numFmtId="3" fontId="41" fillId="0" borderId="11" xfId="59012" applyNumberFormat="1" applyFont="1" applyBorder="1" applyAlignment="1" applyProtection="1">
      <alignment horizontal="center" vertical="center"/>
      <protection locked="0"/>
    </xf>
    <xf numFmtId="3" fontId="41" fillId="74" borderId="11" xfId="59012" applyNumberFormat="1" applyFont="1" applyFill="1" applyBorder="1" applyAlignment="1" applyProtection="1">
      <alignment vertical="center" wrapText="1"/>
      <protection locked="0"/>
    </xf>
    <xf numFmtId="3" fontId="41" fillId="74" borderId="14" xfId="59012" applyNumberFormat="1" applyFont="1" applyFill="1" applyBorder="1" applyAlignment="1" applyProtection="1">
      <alignment horizontal="center" vertical="center"/>
      <protection locked="0"/>
    </xf>
    <xf numFmtId="3" fontId="41" fillId="74" borderId="14" xfId="59012" applyNumberFormat="1" applyFont="1" applyFill="1" applyBorder="1" applyAlignment="1" applyProtection="1">
      <alignment vertical="center"/>
      <protection locked="0"/>
    </xf>
    <xf numFmtId="0" fontId="41" fillId="0" borderId="11" xfId="59012" applyFont="1" applyFill="1" applyBorder="1" applyAlignment="1" applyProtection="1">
      <alignment horizontal="center"/>
      <protection locked="0"/>
    </xf>
    <xf numFmtId="0" fontId="41" fillId="74" borderId="15" xfId="59012" applyFont="1" applyFill="1" applyBorder="1" applyAlignment="1" applyProtection="1">
      <alignment vertical="center" wrapText="1"/>
      <protection locked="0"/>
    </xf>
    <xf numFmtId="0" fontId="41" fillId="74" borderId="31" xfId="59012" applyFont="1" applyFill="1" applyBorder="1" applyAlignment="1" applyProtection="1">
      <alignment vertical="center" wrapText="1"/>
      <protection locked="0"/>
    </xf>
    <xf numFmtId="3" fontId="38" fillId="75" borderId="31" xfId="59012" applyNumberFormat="1" applyFont="1" applyFill="1" applyBorder="1" applyAlignment="1" applyProtection="1">
      <alignment horizontal="center" vertical="center"/>
      <protection locked="0"/>
    </xf>
    <xf numFmtId="0" fontId="38" fillId="75" borderId="11" xfId="59012" applyFont="1" applyFill="1" applyBorder="1" applyAlignment="1" applyProtection="1">
      <alignment horizontal="center"/>
      <protection locked="0"/>
    </xf>
    <xf numFmtId="3" fontId="38" fillId="79" borderId="11" xfId="59012" applyNumberFormat="1" applyFont="1" applyFill="1" applyBorder="1" applyAlignment="1" applyProtection="1">
      <alignment horizontal="center" vertical="center"/>
      <protection locked="0"/>
    </xf>
    <xf numFmtId="0" fontId="35" fillId="74" borderId="0" xfId="59012" applyFont="1" applyFill="1" applyAlignment="1">
      <alignment horizontal="center" vertical="center"/>
    </xf>
    <xf numFmtId="0" fontId="112" fillId="74" borderId="0" xfId="59012" applyFont="1" applyFill="1"/>
    <xf numFmtId="0" fontId="151" fillId="74" borderId="0" xfId="59012" applyFont="1" applyFill="1"/>
    <xf numFmtId="0" fontId="151" fillId="74" borderId="0" xfId="59012" applyFont="1" applyFill="1" applyAlignment="1">
      <alignment horizontal="center"/>
    </xf>
    <xf numFmtId="0" fontId="35" fillId="74" borderId="0" xfId="59012" applyFont="1" applyFill="1" applyAlignment="1">
      <alignment horizontal="center"/>
    </xf>
    <xf numFmtId="0" fontId="35" fillId="74" borderId="0" xfId="59012" applyFont="1" applyFill="1"/>
    <xf numFmtId="0" fontId="151" fillId="0" borderId="0" xfId="59012" applyFont="1"/>
    <xf numFmtId="0" fontId="111" fillId="74" borderId="0" xfId="59012" applyFont="1" applyFill="1"/>
    <xf numFmtId="3" fontId="40" fillId="0" borderId="40" xfId="0" applyNumberFormat="1" applyFont="1" applyFill="1" applyBorder="1" applyAlignment="1">
      <alignment horizontal="center" vertical="center" wrapText="1"/>
    </xf>
    <xf numFmtId="3" fontId="37" fillId="0" borderId="65" xfId="0" applyNumberFormat="1" applyFont="1" applyFill="1" applyBorder="1" applyAlignment="1">
      <alignment horizontal="center" vertical="center"/>
    </xf>
    <xf numFmtId="3" fontId="37" fillId="0" borderId="31" xfId="0" applyNumberFormat="1" applyFont="1" applyFill="1" applyBorder="1" applyAlignment="1">
      <alignment horizontal="center" vertical="center"/>
    </xf>
    <xf numFmtId="3" fontId="37" fillId="0" borderId="38" xfId="0" applyNumberFormat="1" applyFont="1" applyFill="1" applyBorder="1" applyAlignment="1">
      <alignment horizontal="center" vertical="center"/>
    </xf>
    <xf numFmtId="3" fontId="114" fillId="0" borderId="40" xfId="0" applyNumberFormat="1" applyFont="1" applyFill="1" applyBorder="1" applyAlignment="1">
      <alignment horizontal="center" vertical="center"/>
    </xf>
    <xf numFmtId="3" fontId="114" fillId="0" borderId="39" xfId="0" applyNumberFormat="1" applyFont="1" applyFill="1" applyBorder="1" applyAlignment="1">
      <alignment horizontal="center" vertical="center"/>
    </xf>
    <xf numFmtId="0" fontId="114" fillId="0" borderId="0" xfId="0" applyFont="1" applyFill="1" applyAlignment="1">
      <alignment horizontal="center" vertical="center"/>
    </xf>
    <xf numFmtId="3" fontId="33" fillId="0" borderId="39" xfId="0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3" fontId="33" fillId="0" borderId="60" xfId="0" applyNumberFormat="1" applyFont="1" applyFill="1" applyBorder="1" applyAlignment="1">
      <alignment horizontal="center" vertical="center"/>
    </xf>
    <xf numFmtId="3" fontId="33" fillId="0" borderId="54" xfId="0" applyNumberFormat="1" applyFont="1" applyFill="1" applyBorder="1" applyAlignment="1">
      <alignment horizontal="center" vertical="center"/>
    </xf>
    <xf numFmtId="3" fontId="114" fillId="0" borderId="54" xfId="0" applyNumberFormat="1" applyFont="1" applyFill="1" applyBorder="1" applyAlignment="1">
      <alignment horizontal="center" vertical="center"/>
    </xf>
    <xf numFmtId="3" fontId="114" fillId="0" borderId="70" xfId="0" applyNumberFormat="1" applyFont="1" applyFill="1" applyBorder="1" applyAlignment="1">
      <alignment horizontal="center" vertical="center"/>
    </xf>
    <xf numFmtId="3" fontId="33" fillId="0" borderId="71" xfId="0" applyNumberFormat="1" applyFont="1" applyFill="1" applyBorder="1" applyAlignment="1">
      <alignment horizontal="center" vertical="center"/>
    </xf>
    <xf numFmtId="3" fontId="102" fillId="0" borderId="0" xfId="61314" applyNumberFormat="1" applyFont="1"/>
    <xf numFmtId="0" fontId="104" fillId="0" borderId="0" xfId="0" applyFont="1" applyFill="1"/>
    <xf numFmtId="0" fontId="106" fillId="0" borderId="0" xfId="0" applyFont="1" applyFill="1" applyAlignment="1">
      <alignment horizontal="center" vertical="center"/>
    </xf>
    <xf numFmtId="0" fontId="106" fillId="0" borderId="0" xfId="0" applyFont="1" applyFill="1" applyAlignment="1">
      <alignment horizontal="left" vertical="center"/>
    </xf>
    <xf numFmtId="0" fontId="109" fillId="0" borderId="0" xfId="0" applyFont="1" applyFill="1"/>
    <xf numFmtId="0" fontId="106" fillId="0" borderId="11" xfId="0" applyFont="1" applyFill="1" applyBorder="1" applyAlignment="1">
      <alignment horizontal="center" vertical="center" wrapText="1"/>
    </xf>
    <xf numFmtId="49" fontId="104" fillId="0" borderId="11" xfId="3" applyNumberFormat="1" applyFont="1" applyFill="1" applyBorder="1" applyAlignment="1">
      <alignment horizontal="center" vertical="center" wrapText="1"/>
    </xf>
    <xf numFmtId="0" fontId="153" fillId="0" borderId="11" xfId="3" applyFont="1" applyFill="1" applyBorder="1" applyAlignment="1">
      <alignment horizontal="left" vertical="center" wrapText="1"/>
    </xf>
    <xf numFmtId="3" fontId="104" fillId="0" borderId="11" xfId="0" applyNumberFormat="1" applyFont="1" applyFill="1" applyBorder="1" applyAlignment="1">
      <alignment horizontal="center" vertical="center"/>
    </xf>
    <xf numFmtId="2" fontId="104" fillId="0" borderId="0" xfId="0" applyNumberFormat="1" applyFont="1" applyFill="1"/>
    <xf numFmtId="0" fontId="104" fillId="0" borderId="11" xfId="3" applyFont="1" applyFill="1" applyBorder="1" applyAlignment="1">
      <alignment horizontal="center" vertical="center" wrapText="1"/>
    </xf>
    <xf numFmtId="0" fontId="104" fillId="0" borderId="11" xfId="3" applyFont="1" applyFill="1" applyBorder="1" applyAlignment="1">
      <alignment horizontal="left" vertical="center" wrapText="1"/>
    </xf>
    <xf numFmtId="49" fontId="106" fillId="0" borderId="11" xfId="3" applyNumberFormat="1" applyFont="1" applyFill="1" applyBorder="1" applyAlignment="1">
      <alignment horizontal="center" vertical="center" wrapText="1"/>
    </xf>
    <xf numFmtId="49" fontId="104" fillId="0" borderId="11" xfId="0" applyNumberFormat="1" applyFont="1" applyFill="1" applyBorder="1" applyAlignment="1">
      <alignment horizontal="center" vertical="center" wrapText="1"/>
    </xf>
    <xf numFmtId="0" fontId="153" fillId="0" borderId="11" xfId="0" applyFont="1" applyFill="1" applyBorder="1" applyAlignment="1">
      <alignment horizontal="left" vertical="center" wrapText="1"/>
    </xf>
    <xf numFmtId="49" fontId="106" fillId="0" borderId="11" xfId="3" applyNumberFormat="1" applyFont="1" applyFill="1" applyBorder="1" applyAlignment="1">
      <alignment horizontal="center" vertical="center"/>
    </xf>
    <xf numFmtId="0" fontId="106" fillId="0" borderId="11" xfId="58975" applyFont="1" applyFill="1" applyBorder="1" applyAlignment="1">
      <alignment horizontal="left" vertical="center" wrapText="1"/>
    </xf>
    <xf numFmtId="49" fontId="104" fillId="0" borderId="11" xfId="0" applyNumberFormat="1" applyFont="1" applyFill="1" applyBorder="1" applyAlignment="1">
      <alignment horizontal="center" vertical="center"/>
    </xf>
    <xf numFmtId="0" fontId="104" fillId="0" borderId="11" xfId="0" applyFont="1" applyFill="1" applyBorder="1" applyAlignment="1">
      <alignment horizontal="left" vertical="center" wrapText="1"/>
    </xf>
    <xf numFmtId="49" fontId="104" fillId="0" borderId="11" xfId="3" applyNumberFormat="1" applyFont="1" applyFill="1" applyBorder="1" applyAlignment="1">
      <alignment horizontal="left" vertical="center" wrapText="1"/>
    </xf>
    <xf numFmtId="0" fontId="106" fillId="0" borderId="11" xfId="58921" applyFont="1" applyFill="1" applyBorder="1" applyAlignment="1">
      <alignment horizontal="left" vertical="center" wrapText="1"/>
    </xf>
    <xf numFmtId="3" fontId="106" fillId="0" borderId="11" xfId="58921" applyNumberFormat="1" applyFont="1" applyFill="1" applyBorder="1" applyAlignment="1">
      <alignment horizontal="center" vertical="center"/>
    </xf>
    <xf numFmtId="3" fontId="153" fillId="0" borderId="11" xfId="0" applyNumberFormat="1" applyFont="1" applyFill="1" applyBorder="1" applyAlignment="1">
      <alignment horizontal="left" vertical="center" wrapText="1"/>
    </xf>
    <xf numFmtId="170" fontId="106" fillId="0" borderId="11" xfId="58921" applyNumberFormat="1" applyFont="1" applyFill="1" applyBorder="1" applyAlignment="1">
      <alignment horizontal="center" vertical="center"/>
    </xf>
    <xf numFmtId="3" fontId="106" fillId="0" borderId="11" xfId="0" applyNumberFormat="1" applyFont="1" applyFill="1" applyBorder="1" applyAlignment="1">
      <alignment horizontal="left" vertical="center" wrapText="1"/>
    </xf>
    <xf numFmtId="3" fontId="106" fillId="0" borderId="31" xfId="58921" applyNumberFormat="1" applyFont="1" applyFill="1" applyBorder="1" applyAlignment="1">
      <alignment horizontal="center" vertical="center"/>
    </xf>
    <xf numFmtId="3" fontId="153" fillId="0" borderId="31" xfId="0" applyNumberFormat="1" applyFont="1" applyFill="1" applyBorder="1" applyAlignment="1">
      <alignment horizontal="left" vertical="center" wrapText="1"/>
    </xf>
    <xf numFmtId="0" fontId="106" fillId="0" borderId="11" xfId="0" applyFont="1" applyFill="1" applyBorder="1" applyAlignment="1">
      <alignment horizontal="left" vertical="center"/>
    </xf>
    <xf numFmtId="0" fontId="35" fillId="74" borderId="11" xfId="61317" applyFont="1" applyFill="1" applyBorder="1" applyAlignment="1">
      <alignment horizontal="center" vertical="center" wrapText="1"/>
    </xf>
    <xf numFmtId="3" fontId="35" fillId="74" borderId="11" xfId="61317" applyNumberFormat="1" applyFont="1" applyFill="1" applyBorder="1" applyAlignment="1">
      <alignment horizontal="center" vertical="center" wrapText="1"/>
    </xf>
    <xf numFmtId="3" fontId="154" fillId="74" borderId="0" xfId="61317" applyNumberFormat="1" applyFont="1" applyFill="1" applyAlignment="1">
      <alignment horizontal="center" vertical="center"/>
    </xf>
    <xf numFmtId="0" fontId="98" fillId="74" borderId="0" xfId="61347" applyFont="1" applyFill="1"/>
    <xf numFmtId="0" fontId="37" fillId="74" borderId="0" xfId="61347" applyFont="1" applyFill="1"/>
    <xf numFmtId="3" fontId="37" fillId="74" borderId="11" xfId="61347" applyNumberFormat="1" applyFont="1" applyFill="1" applyBorder="1" applyAlignment="1">
      <alignment horizontal="center" vertical="center" wrapText="1"/>
    </xf>
    <xf numFmtId="3" fontId="148" fillId="74" borderId="11" xfId="61347" applyNumberFormat="1" applyFont="1" applyFill="1" applyBorder="1" applyAlignment="1" applyProtection="1">
      <alignment horizontal="center" vertical="center" wrapText="1"/>
      <protection locked="0"/>
    </xf>
    <xf numFmtId="0" fontId="37" fillId="74" borderId="11" xfId="61347" applyFont="1" applyFill="1" applyBorder="1" applyAlignment="1" applyProtection="1">
      <alignment horizontal="center" vertical="center"/>
      <protection locked="0"/>
    </xf>
    <xf numFmtId="3" fontId="40" fillId="74" borderId="11" xfId="61347" applyNumberFormat="1" applyFont="1" applyFill="1" applyBorder="1" applyAlignment="1" applyProtection="1">
      <alignment horizontal="center" vertical="center" wrapText="1"/>
      <protection locked="0"/>
    </xf>
    <xf numFmtId="3" fontId="100" fillId="74" borderId="11" xfId="61347" applyNumberFormat="1" applyFont="1" applyFill="1" applyBorder="1" applyAlignment="1" applyProtection="1">
      <alignment horizontal="center" vertical="center" wrapText="1"/>
      <protection locked="0"/>
    </xf>
    <xf numFmtId="0" fontId="37" fillId="74" borderId="11" xfId="61347" applyFont="1" applyFill="1" applyBorder="1" applyAlignment="1" applyProtection="1">
      <alignment vertical="center"/>
      <protection locked="0"/>
    </xf>
    <xf numFmtId="3" fontId="37" fillId="74" borderId="11" xfId="61347" applyNumberFormat="1" applyFont="1" applyFill="1" applyBorder="1" applyAlignment="1" applyProtection="1">
      <alignment horizontal="center" vertical="center" wrapText="1"/>
      <protection locked="0"/>
    </xf>
    <xf numFmtId="0" fontId="37" fillId="74" borderId="11" xfId="61347" applyFont="1" applyFill="1" applyBorder="1" applyAlignment="1" applyProtection="1">
      <alignment vertical="center" wrapText="1"/>
      <protection locked="0"/>
    </xf>
    <xf numFmtId="0" fontId="40" fillId="74" borderId="11" xfId="61347" applyFont="1" applyFill="1" applyBorder="1" applyAlignment="1" applyProtection="1">
      <alignment horizontal="center" vertical="center"/>
      <protection locked="0"/>
    </xf>
    <xf numFmtId="0" fontId="40" fillId="74" borderId="11" xfId="61347" applyFont="1" applyFill="1" applyBorder="1" applyAlignment="1" applyProtection="1">
      <alignment vertical="center"/>
      <protection locked="0"/>
    </xf>
    <xf numFmtId="0" fontId="40" fillId="74" borderId="11" xfId="61347" applyFont="1" applyFill="1" applyBorder="1" applyAlignment="1" applyProtection="1">
      <alignment vertical="center" wrapText="1"/>
      <protection locked="0"/>
    </xf>
    <xf numFmtId="0" fontId="40" fillId="74" borderId="0" xfId="61347" applyFont="1" applyFill="1"/>
    <xf numFmtId="0" fontId="40" fillId="0" borderId="11" xfId="61314" applyFont="1" applyBorder="1" applyAlignment="1">
      <alignment horizontal="left" vertical="center" wrapText="1"/>
    </xf>
    <xf numFmtId="3" fontId="40" fillId="0" borderId="11" xfId="61314" applyNumberFormat="1" applyFont="1" applyBorder="1" applyAlignment="1">
      <alignment horizontal="center" vertical="center"/>
    </xf>
    <xf numFmtId="0" fontId="111" fillId="0" borderId="10" xfId="59012" applyFont="1" applyBorder="1" applyAlignment="1">
      <alignment horizontal="center" vertical="center" wrapText="1"/>
    </xf>
    <xf numFmtId="0" fontId="41" fillId="74" borderId="15" xfId="59012" applyFont="1" applyFill="1" applyBorder="1" applyAlignment="1" applyProtection="1">
      <alignment horizontal="center" vertical="center" wrapText="1"/>
      <protection locked="0"/>
    </xf>
    <xf numFmtId="0" fontId="41" fillId="74" borderId="72" xfId="59012" applyFont="1" applyFill="1" applyBorder="1" applyAlignment="1" applyProtection="1">
      <alignment horizontal="center" vertical="center" wrapText="1"/>
      <protection locked="0"/>
    </xf>
    <xf numFmtId="0" fontId="35" fillId="0" borderId="0" xfId="61349" applyFont="1" applyFill="1"/>
    <xf numFmtId="3" fontId="35" fillId="0" borderId="0" xfId="61349" applyNumberFormat="1" applyFont="1" applyFill="1" applyAlignment="1">
      <alignment horizontal="center" vertical="center"/>
    </xf>
    <xf numFmtId="3" fontId="41" fillId="0" borderId="11" xfId="61349" applyNumberFormat="1" applyFont="1" applyFill="1" applyBorder="1" applyAlignment="1">
      <alignment horizontal="center" vertical="center" wrapText="1"/>
    </xf>
    <xf numFmtId="0" fontId="35" fillId="0" borderId="11" xfId="61349" applyFont="1" applyFill="1" applyBorder="1" applyAlignment="1">
      <alignment horizontal="center" vertical="center" wrapText="1"/>
    </xf>
    <xf numFmtId="0" fontId="35" fillId="0" borderId="11" xfId="61349" applyFont="1" applyFill="1" applyBorder="1" applyAlignment="1">
      <alignment horizontal="left" vertical="center" wrapText="1"/>
    </xf>
    <xf numFmtId="0" fontId="35" fillId="0" borderId="11" xfId="61349" applyFont="1" applyFill="1" applyBorder="1" applyAlignment="1">
      <alignment horizontal="center" vertical="center"/>
    </xf>
    <xf numFmtId="3" fontId="35" fillId="0" borderId="11" xfId="61349" applyNumberFormat="1" applyFont="1" applyFill="1" applyBorder="1" applyAlignment="1">
      <alignment horizontal="center" vertical="center"/>
    </xf>
    <xf numFmtId="3" fontId="35" fillId="0" borderId="0" xfId="61349" applyNumberFormat="1" applyFont="1" applyFill="1"/>
    <xf numFmtId="0" fontId="35" fillId="74" borderId="11" xfId="61349" applyFont="1" applyFill="1" applyBorder="1" applyAlignment="1">
      <alignment horizontal="center" vertical="center" wrapText="1"/>
    </xf>
    <xf numFmtId="0" fontId="35" fillId="74" borderId="11" xfId="61349" applyFont="1" applyFill="1" applyBorder="1" applyAlignment="1">
      <alignment horizontal="left" vertical="center" wrapText="1"/>
    </xf>
    <xf numFmtId="0" fontId="35" fillId="74" borderId="11" xfId="61349" applyFont="1" applyFill="1" applyBorder="1" applyAlignment="1">
      <alignment horizontal="center" vertical="center"/>
    </xf>
    <xf numFmtId="3" fontId="35" fillId="74" borderId="11" xfId="61349" applyNumberFormat="1" applyFont="1" applyFill="1" applyBorder="1" applyAlignment="1">
      <alignment horizontal="center" vertical="center"/>
    </xf>
    <xf numFmtId="0" fontId="35" fillId="74" borderId="0" xfId="61349" applyFont="1" applyFill="1"/>
    <xf numFmtId="49" fontId="41" fillId="0" borderId="31" xfId="58975" applyNumberFormat="1" applyFont="1" applyFill="1" applyBorder="1" applyAlignment="1">
      <alignment horizontal="center" vertical="center"/>
    </xf>
    <xf numFmtId="49" fontId="41" fillId="0" borderId="11" xfId="61349" applyNumberFormat="1" applyFont="1" applyFill="1" applyBorder="1" applyAlignment="1">
      <alignment horizontal="center" vertical="center" wrapText="1"/>
    </xf>
    <xf numFmtId="0" fontId="35" fillId="0" borderId="11" xfId="61349" applyFont="1" applyFill="1" applyBorder="1" applyAlignment="1">
      <alignment horizontal="justify" vertical="center" wrapText="1"/>
    </xf>
    <xf numFmtId="0" fontId="111" fillId="0" borderId="11" xfId="61349" applyFont="1" applyFill="1" applyBorder="1" applyAlignment="1">
      <alignment horizontal="center" vertical="center" wrapText="1"/>
    </xf>
    <xf numFmtId="0" fontId="111" fillId="0" borderId="11" xfId="61349" applyFont="1" applyFill="1" applyBorder="1" applyAlignment="1">
      <alignment horizontal="left" vertical="center" wrapText="1"/>
    </xf>
    <xf numFmtId="0" fontId="111" fillId="0" borderId="11" xfId="61349" applyFont="1" applyFill="1" applyBorder="1" applyAlignment="1">
      <alignment horizontal="center" vertical="center"/>
    </xf>
    <xf numFmtId="3" fontId="111" fillId="0" borderId="11" xfId="61349" applyNumberFormat="1" applyFont="1" applyFill="1" applyBorder="1" applyAlignment="1">
      <alignment horizontal="center" vertical="center"/>
    </xf>
    <xf numFmtId="0" fontId="35" fillId="0" borderId="31" xfId="61349" applyFont="1" applyFill="1" applyBorder="1" applyAlignment="1">
      <alignment horizontal="center" vertical="center" wrapText="1"/>
    </xf>
    <xf numFmtId="0" fontId="35" fillId="0" borderId="11" xfId="61349" applyFont="1" applyFill="1" applyBorder="1" applyAlignment="1">
      <alignment horizontal="right" vertical="center" wrapText="1"/>
    </xf>
    <xf numFmtId="0" fontId="111" fillId="0" borderId="31" xfId="61349" applyFont="1" applyFill="1" applyBorder="1" applyAlignment="1">
      <alignment horizontal="center" vertical="center" wrapText="1"/>
    </xf>
    <xf numFmtId="0" fontId="35" fillId="74" borderId="11" xfId="61349" applyFont="1" applyFill="1" applyBorder="1" applyAlignment="1">
      <alignment horizontal="right" vertical="center" wrapText="1"/>
    </xf>
    <xf numFmtId="0" fontId="111" fillId="74" borderId="11" xfId="61349" applyFont="1" applyFill="1" applyBorder="1" applyAlignment="1">
      <alignment horizontal="left" vertical="center" wrapText="1"/>
    </xf>
    <xf numFmtId="3" fontId="111" fillId="0" borderId="0" xfId="61349" applyNumberFormat="1" applyFont="1" applyFill="1"/>
    <xf numFmtId="0" fontId="111" fillId="0" borderId="0" xfId="61349" applyFont="1" applyFill="1"/>
    <xf numFmtId="3" fontId="35" fillId="0" borderId="31" xfId="61349" applyNumberFormat="1" applyFont="1" applyFill="1" applyBorder="1" applyAlignment="1">
      <alignment horizontal="center" vertical="center"/>
    </xf>
    <xf numFmtId="0" fontId="35" fillId="0" borderId="31" xfId="61349" applyFont="1" applyFill="1" applyBorder="1" applyAlignment="1">
      <alignment horizontal="center" vertical="center"/>
    </xf>
    <xf numFmtId="1" fontId="35" fillId="0" borderId="31" xfId="61349" applyNumberFormat="1" applyFont="1" applyFill="1" applyBorder="1" applyAlignment="1">
      <alignment horizontal="center" vertical="center"/>
    </xf>
    <xf numFmtId="3" fontId="35" fillId="74" borderId="31" xfId="61349" applyNumberFormat="1" applyFont="1" applyFill="1" applyBorder="1" applyAlignment="1">
      <alignment horizontal="center" vertical="center"/>
    </xf>
    <xf numFmtId="1" fontId="35" fillId="0" borderId="11" xfId="61349" applyNumberFormat="1" applyFont="1" applyFill="1" applyBorder="1" applyAlignment="1">
      <alignment horizontal="center" vertical="center"/>
    </xf>
    <xf numFmtId="3" fontId="35" fillId="0" borderId="31" xfId="61349" applyNumberFormat="1" applyFont="1" applyFill="1" applyBorder="1" applyAlignment="1">
      <alignment horizontal="center" vertical="center" wrapText="1"/>
    </xf>
    <xf numFmtId="0" fontId="111" fillId="74" borderId="11" xfId="61349" applyFont="1" applyFill="1" applyBorder="1" applyAlignment="1">
      <alignment horizontal="center" vertical="center"/>
    </xf>
    <xf numFmtId="3" fontId="111" fillId="74" borderId="11" xfId="61349" applyNumberFormat="1" applyFont="1" applyFill="1" applyBorder="1" applyAlignment="1">
      <alignment horizontal="center" vertical="center"/>
    </xf>
    <xf numFmtId="0" fontId="111" fillId="74" borderId="0" xfId="61349" applyFont="1" applyFill="1"/>
    <xf numFmtId="0" fontId="35" fillId="74" borderId="31" xfId="61349" applyFont="1" applyFill="1" applyBorder="1" applyAlignment="1">
      <alignment horizontal="center" vertical="center" wrapText="1"/>
    </xf>
    <xf numFmtId="1" fontId="35" fillId="74" borderId="31" xfId="61349" applyNumberFormat="1" applyFont="1" applyFill="1" applyBorder="1" applyAlignment="1">
      <alignment horizontal="center" vertical="center"/>
    </xf>
    <xf numFmtId="3" fontId="111" fillId="74" borderId="0" xfId="61349" applyNumberFormat="1" applyFont="1" applyFill="1"/>
    <xf numFmtId="0" fontId="35" fillId="0" borderId="11" xfId="61349" applyFont="1" applyFill="1" applyBorder="1" applyAlignment="1" applyProtection="1">
      <alignment horizontal="center" vertical="center" wrapText="1"/>
      <protection locked="0"/>
    </xf>
    <xf numFmtId="0" fontId="111" fillId="0" borderId="11" xfId="61350" applyFont="1" applyFill="1" applyBorder="1" applyAlignment="1">
      <alignment horizontal="left" vertical="center" wrapText="1"/>
    </xf>
    <xf numFmtId="0" fontId="111" fillId="0" borderId="15" xfId="61349" applyFont="1" applyFill="1" applyBorder="1" applyAlignment="1">
      <alignment horizontal="center" vertical="center" wrapText="1"/>
    </xf>
    <xf numFmtId="0" fontId="111" fillId="0" borderId="72" xfId="61349" applyFont="1" applyFill="1" applyBorder="1" applyAlignment="1">
      <alignment horizontal="center" vertical="center" wrapText="1"/>
    </xf>
    <xf numFmtId="0" fontId="111" fillId="0" borderId="73" xfId="61349" applyFont="1" applyFill="1" applyBorder="1" applyAlignment="1">
      <alignment horizontal="center" vertical="center" wrapText="1"/>
    </xf>
    <xf numFmtId="0" fontId="35" fillId="0" borderId="0" xfId="61349" applyFont="1" applyFill="1" applyAlignment="1">
      <alignment horizontal="center" vertical="center"/>
    </xf>
    <xf numFmtId="3" fontId="41" fillId="74" borderId="11" xfId="58867" applyNumberFormat="1" applyFont="1" applyFill="1" applyBorder="1" applyAlignment="1">
      <alignment horizontal="center" vertical="center"/>
    </xf>
    <xf numFmtId="3" fontId="41" fillId="74" borderId="11" xfId="59591" applyNumberFormat="1" applyFont="1" applyFill="1" applyBorder="1" applyAlignment="1">
      <alignment horizontal="center" vertical="center" wrapText="1"/>
    </xf>
    <xf numFmtId="3" fontId="41" fillId="74" borderId="69" xfId="59591" applyNumberFormat="1" applyFont="1" applyFill="1" applyBorder="1" applyAlignment="1">
      <alignment horizontal="center" vertical="center" wrapText="1"/>
    </xf>
    <xf numFmtId="3" fontId="33" fillId="74" borderId="69" xfId="58940" applyNumberFormat="1" applyFont="1" applyFill="1" applyBorder="1" applyAlignment="1">
      <alignment horizontal="left" vertical="center" wrapText="1"/>
    </xf>
    <xf numFmtId="3" fontId="33" fillId="74" borderId="69" xfId="58940" applyNumberFormat="1" applyFont="1" applyFill="1" applyBorder="1" applyAlignment="1">
      <alignment horizontal="center" vertical="center" wrapText="1"/>
    </xf>
    <xf numFmtId="3" fontId="43" fillId="74" borderId="69" xfId="58940" applyNumberFormat="1" applyFont="1" applyFill="1" applyBorder="1" applyAlignment="1">
      <alignment horizontal="left" vertical="center" wrapText="1"/>
    </xf>
    <xf numFmtId="3" fontId="43" fillId="74" borderId="69" xfId="58940" applyNumberFormat="1" applyFont="1" applyFill="1" applyBorder="1" applyAlignment="1">
      <alignment horizontal="center" vertical="center" wrapText="1"/>
    </xf>
    <xf numFmtId="3" fontId="41" fillId="74" borderId="73" xfId="58867" applyNumberFormat="1" applyFont="1" applyFill="1" applyBorder="1" applyAlignment="1">
      <alignment horizontal="center" vertical="center"/>
    </xf>
    <xf numFmtId="3" fontId="38" fillId="74" borderId="73" xfId="58867" applyNumberFormat="1" applyFont="1" applyFill="1" applyBorder="1" applyAlignment="1">
      <alignment horizontal="center" vertical="center"/>
    </xf>
    <xf numFmtId="3" fontId="97" fillId="74" borderId="73" xfId="58940" applyNumberFormat="1" applyFont="1" applyFill="1" applyBorder="1" applyAlignment="1">
      <alignment horizontal="center" vertical="center"/>
    </xf>
    <xf numFmtId="3" fontId="114" fillId="74" borderId="72" xfId="58867" applyNumberFormat="1" applyFont="1" applyFill="1" applyBorder="1" applyAlignment="1" applyProtection="1">
      <alignment horizontal="left" vertical="center" wrapText="1"/>
      <protection locked="0"/>
    </xf>
    <xf numFmtId="3" fontId="38" fillId="74" borderId="72" xfId="58867" applyNumberFormat="1" applyFont="1" applyFill="1" applyBorder="1" applyAlignment="1">
      <alignment vertical="center" wrapText="1"/>
    </xf>
    <xf numFmtId="3" fontId="100" fillId="0" borderId="73" xfId="58940" applyNumberFormat="1" applyFont="1" applyFill="1" applyBorder="1" applyAlignment="1">
      <alignment horizontal="center" vertical="center" wrapText="1"/>
    </xf>
    <xf numFmtId="3" fontId="100" fillId="0" borderId="39" xfId="58940" applyNumberFormat="1" applyFont="1" applyFill="1" applyBorder="1" applyAlignment="1">
      <alignment horizontal="center" vertical="center" wrapText="1"/>
    </xf>
    <xf numFmtId="3" fontId="100" fillId="0" borderId="40" xfId="58940" applyNumberFormat="1" applyFont="1" applyFill="1" applyBorder="1" applyAlignment="1">
      <alignment horizontal="center" vertical="center" wrapText="1"/>
    </xf>
    <xf numFmtId="3" fontId="43" fillId="0" borderId="40" xfId="58940" applyNumberFormat="1" applyFont="1" applyFill="1" applyBorder="1" applyAlignment="1">
      <alignment horizontal="left" vertical="center" wrapText="1"/>
    </xf>
    <xf numFmtId="3" fontId="33" fillId="0" borderId="73" xfId="0" applyNumberFormat="1" applyFont="1" applyFill="1" applyBorder="1" applyAlignment="1">
      <alignment horizontal="center" vertical="center"/>
    </xf>
    <xf numFmtId="3" fontId="41" fillId="0" borderId="73" xfId="58940" applyNumberFormat="1" applyFont="1" applyFill="1" applyBorder="1" applyAlignment="1">
      <alignment horizontal="center" vertical="center"/>
    </xf>
    <xf numFmtId="3" fontId="33" fillId="0" borderId="40" xfId="58940" applyNumberFormat="1" applyFont="1" applyFill="1" applyBorder="1" applyAlignment="1">
      <alignment horizontal="left" vertical="center" wrapText="1"/>
    </xf>
    <xf numFmtId="3" fontId="41" fillId="0" borderId="40" xfId="58940" applyNumberFormat="1" applyFont="1" applyFill="1" applyBorder="1" applyAlignment="1">
      <alignment horizontal="left" vertical="center" wrapText="1"/>
    </xf>
    <xf numFmtId="0" fontId="43" fillId="0" borderId="40" xfId="58940" applyFont="1" applyFill="1" applyBorder="1" applyAlignment="1">
      <alignment horizontal="left" vertical="center" wrapText="1"/>
    </xf>
    <xf numFmtId="0" fontId="33" fillId="0" borderId="40" xfId="58940" applyFont="1" applyFill="1" applyBorder="1" applyAlignment="1">
      <alignment horizontal="left" vertical="center" wrapText="1"/>
    </xf>
    <xf numFmtId="3" fontId="43" fillId="0" borderId="40" xfId="0" applyNumberFormat="1" applyFont="1" applyFill="1" applyBorder="1" applyAlignment="1">
      <alignment horizontal="left" vertical="center" wrapText="1"/>
    </xf>
    <xf numFmtId="0" fontId="41" fillId="0" borderId="40" xfId="58940" applyFont="1" applyFill="1" applyBorder="1" applyAlignment="1">
      <alignment horizontal="left" vertical="center" wrapText="1"/>
    </xf>
    <xf numFmtId="0" fontId="38" fillId="0" borderId="40" xfId="58940" applyFont="1" applyFill="1" applyBorder="1" applyAlignment="1">
      <alignment horizontal="left" vertical="center" wrapText="1"/>
    </xf>
    <xf numFmtId="4" fontId="41" fillId="0" borderId="40" xfId="58975" applyNumberFormat="1" applyFont="1" applyFill="1" applyBorder="1" applyAlignment="1">
      <alignment horizontal="left" vertical="center" wrapText="1"/>
    </xf>
    <xf numFmtId="3" fontId="33" fillId="0" borderId="40" xfId="0" applyNumberFormat="1" applyFont="1" applyFill="1" applyBorder="1" applyAlignment="1">
      <alignment horizontal="left" vertical="center" wrapText="1"/>
    </xf>
    <xf numFmtId="3" fontId="41" fillId="0" borderId="40" xfId="0" applyNumberFormat="1" applyFont="1" applyFill="1" applyBorder="1" applyAlignment="1">
      <alignment horizontal="left" vertical="center" wrapText="1"/>
    </xf>
    <xf numFmtId="0" fontId="41" fillId="0" borderId="70" xfId="0" applyFont="1" applyFill="1" applyBorder="1" applyAlignment="1">
      <alignment horizontal="left" vertical="center"/>
    </xf>
    <xf numFmtId="3" fontId="41" fillId="0" borderId="60" xfId="0" applyNumberFormat="1" applyFont="1" applyFill="1" applyBorder="1" applyAlignment="1">
      <alignment horizontal="center" vertical="center"/>
    </xf>
    <xf numFmtId="3" fontId="41" fillId="0" borderId="71" xfId="5894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114" fillId="0" borderId="34" xfId="0" applyNumberFormat="1" applyFont="1" applyFill="1" applyBorder="1" applyAlignment="1">
      <alignment horizontal="center" vertical="center"/>
    </xf>
    <xf numFmtId="3" fontId="114" fillId="0" borderId="14" xfId="0" applyNumberFormat="1" applyFont="1" applyFill="1" applyBorder="1" applyAlignment="1">
      <alignment horizontal="center" vertical="center"/>
    </xf>
    <xf numFmtId="3" fontId="38" fillId="0" borderId="42" xfId="0" applyNumberFormat="1" applyFont="1" applyFill="1" applyBorder="1" applyAlignment="1">
      <alignment horizontal="center" vertical="center"/>
    </xf>
    <xf numFmtId="3" fontId="38" fillId="0" borderId="41" xfId="0" applyNumberFormat="1" applyFont="1" applyFill="1" applyBorder="1" applyAlignment="1">
      <alignment horizontal="center" vertical="center"/>
    </xf>
    <xf numFmtId="3" fontId="114" fillId="0" borderId="41" xfId="0" applyNumberFormat="1" applyFont="1" applyFill="1" applyBorder="1" applyAlignment="1">
      <alignment horizontal="center" vertical="center"/>
    </xf>
    <xf numFmtId="3" fontId="41" fillId="0" borderId="40" xfId="0" applyNumberFormat="1" applyFont="1" applyFill="1" applyBorder="1" applyAlignment="1">
      <alignment horizontal="center" vertical="center"/>
    </xf>
    <xf numFmtId="3" fontId="33" fillId="0" borderId="40" xfId="0" applyNumberFormat="1" applyFont="1" applyFill="1" applyBorder="1" applyAlignment="1">
      <alignment horizontal="center" vertical="center"/>
    </xf>
    <xf numFmtId="3" fontId="114" fillId="0" borderId="73" xfId="0" applyNumberFormat="1" applyFont="1" applyFill="1" applyBorder="1" applyAlignment="1">
      <alignment horizontal="center" vertical="center"/>
    </xf>
    <xf numFmtId="3" fontId="38" fillId="0" borderId="39" xfId="0" applyNumberFormat="1" applyFont="1" applyFill="1" applyBorder="1" applyAlignment="1">
      <alignment horizontal="center" vertical="center"/>
    </xf>
    <xf numFmtId="3" fontId="38" fillId="0" borderId="40" xfId="0" applyNumberFormat="1" applyFont="1" applyFill="1" applyBorder="1" applyAlignment="1">
      <alignment horizontal="center" vertical="center"/>
    </xf>
    <xf numFmtId="3" fontId="41" fillId="0" borderId="39" xfId="58940" applyNumberFormat="1" applyFont="1" applyFill="1" applyBorder="1" applyAlignment="1">
      <alignment horizontal="center" vertical="center"/>
    </xf>
    <xf numFmtId="3" fontId="33" fillId="0" borderId="70" xfId="0" applyNumberFormat="1" applyFont="1" applyFill="1" applyBorder="1" applyAlignment="1">
      <alignment horizontal="center" vertical="center"/>
    </xf>
    <xf numFmtId="3" fontId="100" fillId="0" borderId="60" xfId="58940" applyNumberFormat="1" applyFont="1" applyFill="1" applyBorder="1" applyAlignment="1">
      <alignment horizontal="center" vertical="center" wrapText="1"/>
    </xf>
    <xf numFmtId="3" fontId="100" fillId="0" borderId="61" xfId="5894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left" vertical="center"/>
    </xf>
    <xf numFmtId="0" fontId="100" fillId="0" borderId="0" xfId="0" applyFont="1" applyFill="1" applyBorder="1" applyAlignment="1">
      <alignment horizontal="center" vertical="center"/>
    </xf>
    <xf numFmtId="3" fontId="100" fillId="0" borderId="60" xfId="0" applyNumberFormat="1" applyFont="1" applyFill="1" applyBorder="1" applyAlignment="1">
      <alignment horizontal="center" vertical="center" wrapText="1"/>
    </xf>
    <xf numFmtId="3" fontId="100" fillId="0" borderId="70" xfId="0" applyNumberFormat="1" applyFont="1" applyFill="1" applyBorder="1" applyAlignment="1">
      <alignment horizontal="center" vertical="center" wrapText="1"/>
    </xf>
    <xf numFmtId="3" fontId="100" fillId="0" borderId="71" xfId="0" applyNumberFormat="1" applyFont="1" applyFill="1" applyBorder="1" applyAlignment="1">
      <alignment horizontal="center" vertical="center" wrapText="1"/>
    </xf>
    <xf numFmtId="3" fontId="38" fillId="0" borderId="13" xfId="0" applyNumberFormat="1" applyFont="1" applyFill="1" applyBorder="1" applyAlignment="1">
      <alignment horizontal="center" vertical="center"/>
    </xf>
    <xf numFmtId="3" fontId="38" fillId="0" borderId="34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3" fontId="41" fillId="0" borderId="15" xfId="0" applyNumberFormat="1" applyFont="1" applyFill="1" applyBorder="1" applyAlignment="1">
      <alignment horizontal="center" vertical="center"/>
    </xf>
    <xf numFmtId="3" fontId="41" fillId="0" borderId="73" xfId="0" applyNumberFormat="1" applyFont="1" applyFill="1" applyBorder="1" applyAlignment="1">
      <alignment horizontal="center" vertical="center"/>
    </xf>
    <xf numFmtId="3" fontId="38" fillId="0" borderId="72" xfId="0" applyNumberFormat="1" applyFont="1" applyFill="1" applyBorder="1" applyAlignment="1">
      <alignment horizontal="center" vertical="center"/>
    </xf>
    <xf numFmtId="3" fontId="38" fillId="0" borderId="77" xfId="0" applyNumberFormat="1" applyFont="1" applyFill="1" applyBorder="1" applyAlignment="1">
      <alignment horizontal="center" vertical="center"/>
    </xf>
    <xf numFmtId="3" fontId="38" fillId="0" borderId="73" xfId="0" applyNumberFormat="1" applyFont="1" applyFill="1" applyBorder="1" applyAlignment="1">
      <alignment horizontal="center" vertical="center"/>
    </xf>
    <xf numFmtId="3" fontId="41" fillId="0" borderId="61" xfId="0" applyNumberFormat="1" applyFont="1" applyFill="1" applyBorder="1" applyAlignment="1">
      <alignment horizontal="center" vertical="center"/>
    </xf>
    <xf numFmtId="3" fontId="41" fillId="0" borderId="70" xfId="0" applyNumberFormat="1" applyFont="1" applyFill="1" applyBorder="1" applyAlignment="1">
      <alignment horizontal="center" vertical="center"/>
    </xf>
    <xf numFmtId="3" fontId="41" fillId="0" borderId="71" xfId="0" applyNumberFormat="1" applyFont="1" applyFill="1" applyBorder="1" applyAlignment="1">
      <alignment horizontal="center" vertical="center"/>
    </xf>
    <xf numFmtId="3" fontId="41" fillId="0" borderId="0" xfId="0" applyNumberFormat="1" applyFont="1" applyFill="1" applyAlignment="1">
      <alignment horizontal="left" vertical="center"/>
    </xf>
    <xf numFmtId="49" fontId="41" fillId="0" borderId="11" xfId="0" applyNumberFormat="1" applyFont="1" applyFill="1" applyBorder="1" applyAlignment="1">
      <alignment horizontal="center" vertical="center"/>
    </xf>
    <xf numFmtId="3" fontId="41" fillId="0" borderId="69" xfId="58940" applyNumberFormat="1" applyFont="1" applyFill="1" applyBorder="1" applyAlignment="1">
      <alignment horizontal="left" vertical="center" wrapText="1"/>
    </xf>
    <xf numFmtId="3" fontId="41" fillId="0" borderId="69" xfId="0" applyNumberFormat="1" applyFont="1" applyFill="1" applyBorder="1" applyAlignment="1">
      <alignment horizontal="left" vertical="center" wrapText="1"/>
    </xf>
    <xf numFmtId="3" fontId="38" fillId="0" borderId="11" xfId="0" applyNumberFormat="1" applyFont="1" applyFill="1" applyBorder="1" applyAlignment="1">
      <alignment horizontal="center" vertical="center"/>
    </xf>
    <xf numFmtId="3" fontId="114" fillId="0" borderId="15" xfId="0" applyNumberFormat="1" applyFont="1" applyFill="1" applyBorder="1" applyAlignment="1">
      <alignment horizontal="center" vertical="center"/>
    </xf>
    <xf numFmtId="3" fontId="41" fillId="0" borderId="11" xfId="58940" applyNumberFormat="1" applyFont="1" applyFill="1" applyBorder="1" applyAlignment="1">
      <alignment horizontal="center" vertical="center" wrapText="1"/>
    </xf>
    <xf numFmtId="3" fontId="41" fillId="0" borderId="11" xfId="0" applyNumberFormat="1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54" xfId="0" applyFont="1" applyFill="1" applyBorder="1" applyAlignment="1">
      <alignment horizontal="center" vertical="center" wrapText="1"/>
    </xf>
    <xf numFmtId="0" fontId="100" fillId="0" borderId="6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/>
    </xf>
    <xf numFmtId="49" fontId="41" fillId="0" borderId="11" xfId="58940" applyNumberFormat="1" applyFont="1" applyFill="1" applyBorder="1" applyAlignment="1">
      <alignment horizontal="center" vertical="center"/>
    </xf>
    <xf numFmtId="3" fontId="100" fillId="0" borderId="11" xfId="58940" applyNumberFormat="1" applyFont="1" applyFill="1" applyBorder="1" applyAlignment="1">
      <alignment horizontal="center" vertical="center" wrapText="1"/>
    </xf>
    <xf numFmtId="3" fontId="41" fillId="0" borderId="14" xfId="0" applyNumberFormat="1" applyFont="1" applyFill="1" applyBorder="1" applyAlignment="1">
      <alignment horizontal="center" vertical="center"/>
    </xf>
    <xf numFmtId="3" fontId="45" fillId="0" borderId="0" xfId="0" applyNumberFormat="1" applyFont="1" applyFill="1" applyAlignment="1">
      <alignment horizontal="center"/>
    </xf>
    <xf numFmtId="3" fontId="41" fillId="0" borderId="39" xfId="58940" applyNumberFormat="1" applyFont="1" applyFill="1" applyBorder="1" applyAlignment="1">
      <alignment horizontal="center" vertical="center" wrapText="1"/>
    </xf>
    <xf numFmtId="3" fontId="41" fillId="0" borderId="40" xfId="58940" applyNumberFormat="1" applyFont="1" applyFill="1" applyBorder="1" applyAlignment="1">
      <alignment horizontal="center" vertical="center" wrapText="1"/>
    </xf>
    <xf numFmtId="3" fontId="41" fillId="0" borderId="73" xfId="58940" applyNumberFormat="1" applyFont="1" applyFill="1" applyBorder="1" applyAlignment="1">
      <alignment horizontal="center" vertical="center" wrapText="1"/>
    </xf>
    <xf numFmtId="3" fontId="41" fillId="0" borderId="40" xfId="0" applyNumberFormat="1" applyFont="1" applyFill="1" applyBorder="1" applyAlignment="1">
      <alignment horizontal="center" vertical="center" wrapText="1"/>
    </xf>
    <xf numFmtId="3" fontId="41" fillId="0" borderId="73" xfId="0" applyNumberFormat="1" applyFont="1" applyFill="1" applyBorder="1" applyAlignment="1">
      <alignment horizontal="center" vertical="center" wrapText="1"/>
    </xf>
    <xf numFmtId="0" fontId="41" fillId="0" borderId="60" xfId="0" applyFont="1" applyFill="1" applyBorder="1" applyAlignment="1">
      <alignment horizontal="center" vertical="center" wrapText="1"/>
    </xf>
    <xf numFmtId="0" fontId="41" fillId="0" borderId="54" xfId="0" applyFont="1" applyFill="1" applyBorder="1" applyAlignment="1">
      <alignment horizontal="center" vertical="center" wrapText="1"/>
    </xf>
    <xf numFmtId="0" fontId="41" fillId="0" borderId="61" xfId="0" applyFont="1" applyFill="1" applyBorder="1" applyAlignment="1">
      <alignment horizontal="center" vertical="center" wrapText="1"/>
    </xf>
    <xf numFmtId="3" fontId="41" fillId="0" borderId="60" xfId="58940" applyNumberFormat="1" applyFont="1" applyFill="1" applyBorder="1" applyAlignment="1">
      <alignment horizontal="center" vertical="center" wrapText="1"/>
    </xf>
    <xf numFmtId="3" fontId="41" fillId="0" borderId="70" xfId="58940" applyNumberFormat="1" applyFont="1" applyFill="1" applyBorder="1" applyAlignment="1">
      <alignment horizontal="center" vertical="center" wrapText="1"/>
    </xf>
    <xf numFmtId="3" fontId="41" fillId="0" borderId="71" xfId="58940" applyNumberFormat="1" applyFont="1" applyFill="1" applyBorder="1" applyAlignment="1">
      <alignment horizontal="center" vertical="center" wrapText="1"/>
    </xf>
    <xf numFmtId="3" fontId="41" fillId="0" borderId="70" xfId="0" applyNumberFormat="1" applyFont="1" applyFill="1" applyBorder="1" applyAlignment="1">
      <alignment horizontal="center" vertical="center" wrapText="1"/>
    </xf>
    <xf numFmtId="3" fontId="41" fillId="0" borderId="71" xfId="0" applyNumberFormat="1" applyFont="1" applyFill="1" applyBorder="1" applyAlignment="1">
      <alignment horizontal="center" vertical="center" wrapText="1"/>
    </xf>
    <xf numFmtId="3" fontId="111" fillId="0" borderId="42" xfId="58940" applyNumberFormat="1" applyFont="1" applyFill="1" applyBorder="1" applyAlignment="1">
      <alignment horizontal="center" vertical="center" wrapText="1"/>
    </xf>
    <xf numFmtId="3" fontId="111" fillId="0" borderId="41" xfId="58940" applyNumberFormat="1" applyFont="1" applyFill="1" applyBorder="1" applyAlignment="1">
      <alignment horizontal="center" vertical="center" wrapText="1"/>
    </xf>
    <xf numFmtId="3" fontId="111" fillId="0" borderId="34" xfId="58940" applyNumberFormat="1" applyFont="1" applyFill="1" applyBorder="1" applyAlignment="1">
      <alignment horizontal="center" vertical="center" wrapText="1"/>
    </xf>
    <xf numFmtId="3" fontId="35" fillId="0" borderId="39" xfId="58940" applyNumberFormat="1" applyFont="1" applyFill="1" applyBorder="1" applyAlignment="1">
      <alignment horizontal="center" vertical="center" wrapText="1"/>
    </xf>
    <xf numFmtId="3" fontId="35" fillId="0" borderId="40" xfId="58940" applyNumberFormat="1" applyFont="1" applyFill="1" applyBorder="1" applyAlignment="1">
      <alignment horizontal="center" vertical="center" wrapText="1"/>
    </xf>
    <xf numFmtId="3" fontId="35" fillId="0" borderId="73" xfId="58940" applyNumberFormat="1" applyFont="1" applyFill="1" applyBorder="1" applyAlignment="1">
      <alignment horizontal="center" vertical="center" wrapText="1"/>
    </xf>
    <xf numFmtId="3" fontId="35" fillId="0" borderId="40" xfId="0" applyNumberFormat="1" applyFont="1" applyFill="1" applyBorder="1" applyAlignment="1">
      <alignment horizontal="center" vertical="center" wrapText="1"/>
    </xf>
    <xf numFmtId="3" fontId="35" fillId="0" borderId="73" xfId="0" applyNumberFormat="1" applyFont="1" applyFill="1" applyBorder="1" applyAlignment="1">
      <alignment horizontal="center" vertical="center" wrapText="1"/>
    </xf>
    <xf numFmtId="3" fontId="97" fillId="0" borderId="55" xfId="0" applyNumberFormat="1" applyFont="1" applyFill="1" applyBorder="1" applyAlignment="1">
      <alignment horizontal="center"/>
    </xf>
    <xf numFmtId="3" fontId="97" fillId="0" borderId="15" xfId="0" applyNumberFormat="1" applyFont="1" applyFill="1" applyBorder="1" applyAlignment="1">
      <alignment horizontal="center"/>
    </xf>
    <xf numFmtId="3" fontId="97" fillId="0" borderId="39" xfId="0" applyNumberFormat="1" applyFont="1" applyFill="1" applyBorder="1" applyAlignment="1">
      <alignment horizontal="center"/>
    </xf>
    <xf numFmtId="3" fontId="97" fillId="0" borderId="40" xfId="0" applyNumberFormat="1" applyFont="1" applyFill="1" applyBorder="1" applyAlignment="1">
      <alignment horizontal="center"/>
    </xf>
    <xf numFmtId="3" fontId="97" fillId="0" borderId="73" xfId="0" applyNumberFormat="1" applyFont="1" applyFill="1" applyBorder="1" applyAlignment="1">
      <alignment horizontal="center"/>
    </xf>
    <xf numFmtId="3" fontId="97" fillId="0" borderId="77" xfId="0" applyNumberFormat="1" applyFont="1" applyFill="1" applyBorder="1" applyAlignment="1">
      <alignment horizontal="center"/>
    </xf>
    <xf numFmtId="0" fontId="97" fillId="0" borderId="0" xfId="0" applyFont="1" applyFill="1"/>
    <xf numFmtId="0" fontId="35" fillId="0" borderId="39" xfId="0" applyFont="1" applyFill="1" applyBorder="1" applyAlignment="1">
      <alignment horizontal="center" vertical="center"/>
    </xf>
    <xf numFmtId="3" fontId="45" fillId="0" borderId="11" xfId="58940" applyNumberFormat="1" applyFont="1" applyFill="1" applyBorder="1" applyAlignment="1">
      <alignment horizontal="center" vertical="center" wrapText="1"/>
    </xf>
    <xf numFmtId="3" fontId="101" fillId="0" borderId="15" xfId="58940" applyNumberFormat="1" applyFont="1" applyFill="1" applyBorder="1" applyAlignment="1">
      <alignment horizontal="left" vertical="center" wrapText="1"/>
    </xf>
    <xf numFmtId="3" fontId="33" fillId="0" borderId="42" xfId="0" applyNumberFormat="1" applyFont="1" applyFill="1" applyBorder="1" applyAlignment="1">
      <alignment horizontal="center"/>
    </xf>
    <xf numFmtId="3" fontId="45" fillId="0" borderId="40" xfId="0" applyNumberFormat="1" applyFont="1" applyFill="1" applyBorder="1" applyAlignment="1">
      <alignment horizontal="center"/>
    </xf>
    <xf numFmtId="3" fontId="45" fillId="0" borderId="73" xfId="0" applyNumberFormat="1" applyFont="1" applyFill="1" applyBorder="1" applyAlignment="1">
      <alignment horizontal="center"/>
    </xf>
    <xf numFmtId="4" fontId="35" fillId="0" borderId="73" xfId="58940" applyNumberFormat="1" applyFont="1" applyFill="1" applyBorder="1" applyAlignment="1">
      <alignment horizontal="center" vertical="center"/>
    </xf>
    <xf numFmtId="3" fontId="33" fillId="0" borderId="39" xfId="0" applyNumberFormat="1" applyFont="1" applyFill="1" applyBorder="1" applyAlignment="1">
      <alignment horizontal="center"/>
    </xf>
    <xf numFmtId="3" fontId="45" fillId="0" borderId="11" xfId="58940" applyNumberFormat="1" applyFont="1" applyFill="1" applyBorder="1" applyAlignment="1">
      <alignment horizontal="center" vertical="center"/>
    </xf>
    <xf numFmtId="3" fontId="45" fillId="0" borderId="15" xfId="58940" applyNumberFormat="1" applyFont="1" applyFill="1" applyBorder="1" applyAlignment="1">
      <alignment horizontal="left" vertical="center" wrapText="1"/>
    </xf>
    <xf numFmtId="3" fontId="35" fillId="0" borderId="73" xfId="58940" applyNumberFormat="1" applyFont="1" applyFill="1" applyBorder="1" applyAlignment="1">
      <alignment horizontal="center" vertical="center"/>
    </xf>
    <xf numFmtId="3" fontId="35" fillId="0" borderId="11" xfId="58940" applyNumberFormat="1" applyFont="1" applyFill="1" applyBorder="1" applyAlignment="1">
      <alignment horizontal="center" vertical="center" wrapText="1"/>
    </xf>
    <xf numFmtId="3" fontId="35" fillId="0" borderId="15" xfId="58940" applyNumberFormat="1" applyFont="1" applyFill="1" applyBorder="1" applyAlignment="1">
      <alignment horizontal="left" vertical="center" wrapText="1"/>
    </xf>
    <xf numFmtId="49" fontId="45" fillId="0" borderId="11" xfId="58940" applyNumberFormat="1" applyFont="1" applyFill="1" applyBorder="1" applyAlignment="1">
      <alignment horizontal="center" vertical="center"/>
    </xf>
    <xf numFmtId="0" fontId="101" fillId="0" borderId="15" xfId="58940" applyFont="1" applyFill="1" applyBorder="1" applyAlignment="1">
      <alignment horizontal="left" vertical="center" wrapText="1"/>
    </xf>
    <xf numFmtId="49" fontId="45" fillId="0" borderId="11" xfId="58940" applyNumberFormat="1" applyFont="1" applyFill="1" applyBorder="1" applyAlignment="1">
      <alignment horizontal="center" vertical="center" wrapText="1"/>
    </xf>
    <xf numFmtId="0" fontId="45" fillId="0" borderId="15" xfId="58940" applyFont="1" applyFill="1" applyBorder="1" applyAlignment="1">
      <alignment horizontal="left" vertical="center" wrapText="1"/>
    </xf>
    <xf numFmtId="3" fontId="45" fillId="0" borderId="11" xfId="0" applyNumberFormat="1" applyFont="1" applyFill="1" applyBorder="1" applyAlignment="1">
      <alignment horizontal="center" vertical="center" wrapText="1"/>
    </xf>
    <xf numFmtId="3" fontId="101" fillId="0" borderId="15" xfId="0" applyNumberFormat="1" applyFont="1" applyFill="1" applyBorder="1" applyAlignment="1">
      <alignment horizontal="left" vertical="center" wrapText="1"/>
    </xf>
    <xf numFmtId="3" fontId="45" fillId="0" borderId="39" xfId="0" applyNumberFormat="1" applyFont="1" applyFill="1" applyBorder="1" applyAlignment="1">
      <alignment horizontal="center"/>
    </xf>
    <xf numFmtId="49" fontId="35" fillId="0" borderId="11" xfId="58940" applyNumberFormat="1" applyFont="1" applyFill="1" applyBorder="1" applyAlignment="1">
      <alignment horizontal="center" vertical="center"/>
    </xf>
    <xf numFmtId="0" fontId="35" fillId="0" borderId="15" xfId="58940" applyFont="1" applyFill="1" applyBorder="1" applyAlignment="1">
      <alignment horizontal="left" vertical="center" wrapText="1"/>
    </xf>
    <xf numFmtId="0" fontId="35" fillId="0" borderId="11" xfId="58940" applyFont="1" applyFill="1" applyBorder="1" applyAlignment="1">
      <alignment horizontal="center" vertical="center" wrapText="1"/>
    </xf>
    <xf numFmtId="0" fontId="111" fillId="0" borderId="15" xfId="58940" applyFont="1" applyFill="1" applyBorder="1" applyAlignment="1">
      <alignment horizontal="left" vertical="center" wrapText="1"/>
    </xf>
    <xf numFmtId="4" fontId="35" fillId="0" borderId="15" xfId="58975" applyNumberFormat="1" applyFont="1" applyFill="1" applyBorder="1" applyAlignment="1">
      <alignment horizontal="left" vertical="center" wrapText="1"/>
    </xf>
    <xf numFmtId="49" fontId="45" fillId="0" borderId="11" xfId="0" applyNumberFormat="1" applyFont="1" applyFill="1" applyBorder="1" applyAlignment="1">
      <alignment horizontal="center" vertical="center"/>
    </xf>
    <xf numFmtId="3" fontId="45" fillId="0" borderId="11" xfId="0" applyNumberFormat="1" applyFont="1" applyFill="1" applyBorder="1" applyAlignment="1">
      <alignment horizontal="center" vertical="center"/>
    </xf>
    <xf numFmtId="3" fontId="45" fillId="0" borderId="15" xfId="0" applyNumberFormat="1" applyFont="1" applyFill="1" applyBorder="1" applyAlignment="1">
      <alignment horizontal="left" vertical="center" wrapText="1"/>
    </xf>
    <xf numFmtId="172" fontId="35" fillId="0" borderId="73" xfId="58940" applyNumberFormat="1" applyFont="1" applyFill="1" applyBorder="1" applyAlignment="1">
      <alignment horizontal="center" vertical="center"/>
    </xf>
    <xf numFmtId="3" fontId="35" fillId="0" borderId="11" xfId="58940" applyNumberFormat="1" applyFont="1" applyFill="1" applyBorder="1" applyAlignment="1">
      <alignment horizontal="center" vertical="center"/>
    </xf>
    <xf numFmtId="170" fontId="35" fillId="0" borderId="11" xfId="58940" applyNumberFormat="1" applyFont="1" applyFill="1" applyBorder="1" applyAlignment="1">
      <alignment horizontal="center" vertical="center"/>
    </xf>
    <xf numFmtId="3" fontId="35" fillId="0" borderId="15" xfId="0" applyNumberFormat="1" applyFont="1" applyFill="1" applyBorder="1" applyAlignment="1">
      <alignment horizontal="left" vertical="center" wrapText="1"/>
    </xf>
    <xf numFmtId="0" fontId="35" fillId="0" borderId="60" xfId="0" applyFont="1" applyFill="1" applyBorder="1" applyAlignment="1">
      <alignment horizontal="center" vertical="center"/>
    </xf>
    <xf numFmtId="0" fontId="35" fillId="0" borderId="54" xfId="0" applyFont="1" applyFill="1" applyBorder="1" applyAlignment="1">
      <alignment horizontal="center" vertical="center"/>
    </xf>
    <xf numFmtId="0" fontId="35" fillId="0" borderId="61" xfId="0" applyFont="1" applyFill="1" applyBorder="1" applyAlignment="1">
      <alignment horizontal="left" vertical="center"/>
    </xf>
    <xf numFmtId="3" fontId="45" fillId="0" borderId="60" xfId="0" applyNumberFormat="1" applyFont="1" applyFill="1" applyBorder="1" applyAlignment="1">
      <alignment horizontal="center"/>
    </xf>
    <xf numFmtId="3" fontId="45" fillId="0" borderId="70" xfId="0" applyNumberFormat="1" applyFont="1" applyFill="1" applyBorder="1" applyAlignment="1">
      <alignment horizontal="center"/>
    </xf>
    <xf numFmtId="3" fontId="45" fillId="0" borderId="71" xfId="0" applyNumberFormat="1" applyFont="1" applyFill="1" applyBorder="1" applyAlignment="1">
      <alignment horizontal="center"/>
    </xf>
    <xf numFmtId="4" fontId="35" fillId="0" borderId="71" xfId="58940" applyNumberFormat="1" applyFont="1" applyFill="1" applyBorder="1" applyAlignment="1">
      <alignment horizontal="center" vertical="center"/>
    </xf>
    <xf numFmtId="3" fontId="121" fillId="0" borderId="40" xfId="0" applyNumberFormat="1" applyFont="1" applyFill="1" applyBorder="1" applyAlignment="1">
      <alignment horizontal="center" vertical="center" wrapText="1"/>
    </xf>
    <xf numFmtId="3" fontId="100" fillId="0" borderId="15" xfId="58940" applyNumberFormat="1" applyFont="1" applyFill="1" applyBorder="1" applyAlignment="1">
      <alignment horizontal="center" vertical="center" wrapText="1"/>
    </xf>
    <xf numFmtId="3" fontId="37" fillId="0" borderId="60" xfId="0" applyNumberFormat="1" applyFont="1" applyFill="1" applyBorder="1" applyAlignment="1">
      <alignment horizontal="center" vertical="center"/>
    </xf>
    <xf numFmtId="3" fontId="37" fillId="0" borderId="54" xfId="0" applyNumberFormat="1" applyFont="1" applyFill="1" applyBorder="1" applyAlignment="1">
      <alignment horizontal="center" vertical="center"/>
    </xf>
    <xf numFmtId="3" fontId="37" fillId="0" borderId="70" xfId="0" applyNumberFormat="1" applyFont="1" applyFill="1" applyBorder="1" applyAlignment="1">
      <alignment horizontal="center" vertical="center"/>
    </xf>
    <xf numFmtId="3" fontId="37" fillId="0" borderId="71" xfId="0" applyNumberFormat="1" applyFont="1" applyFill="1" applyBorder="1" applyAlignment="1">
      <alignment horizontal="center" vertical="center"/>
    </xf>
    <xf numFmtId="3" fontId="37" fillId="0" borderId="61" xfId="0" applyNumberFormat="1" applyFont="1" applyFill="1" applyBorder="1" applyAlignment="1">
      <alignment horizontal="center" vertical="center"/>
    </xf>
    <xf numFmtId="3" fontId="114" fillId="0" borderId="42" xfId="0" applyNumberFormat="1" applyFont="1" applyFill="1" applyBorder="1" applyAlignment="1">
      <alignment horizontal="center" vertical="center"/>
    </xf>
    <xf numFmtId="3" fontId="114" fillId="0" borderId="13" xfId="0" applyNumberFormat="1" applyFont="1" applyFill="1" applyBorder="1" applyAlignment="1">
      <alignment horizontal="center" vertical="center"/>
    </xf>
    <xf numFmtId="3" fontId="33" fillId="0" borderId="15" xfId="0" applyNumberFormat="1" applyFont="1" applyFill="1" applyBorder="1" applyAlignment="1">
      <alignment horizontal="center" vertical="center"/>
    </xf>
    <xf numFmtId="3" fontId="122" fillId="0" borderId="39" xfId="0" applyNumberFormat="1" applyFont="1" applyFill="1" applyBorder="1" applyAlignment="1">
      <alignment horizontal="center" vertical="center"/>
    </xf>
    <xf numFmtId="3" fontId="122" fillId="0" borderId="11" xfId="0" applyNumberFormat="1" applyFont="1" applyFill="1" applyBorder="1" applyAlignment="1">
      <alignment horizontal="center" vertical="center"/>
    </xf>
    <xf numFmtId="3" fontId="122" fillId="0" borderId="73" xfId="0" applyNumberFormat="1" applyFont="1" applyFill="1" applyBorder="1" applyAlignment="1">
      <alignment horizontal="center" vertical="center"/>
    </xf>
    <xf numFmtId="3" fontId="122" fillId="0" borderId="15" xfId="0" applyNumberFormat="1" applyFont="1" applyFill="1" applyBorder="1" applyAlignment="1">
      <alignment horizontal="center" vertical="center"/>
    </xf>
    <xf numFmtId="3" fontId="122" fillId="0" borderId="40" xfId="0" applyNumberFormat="1" applyFont="1" applyFill="1" applyBorder="1" applyAlignment="1">
      <alignment horizontal="center" vertical="center"/>
    </xf>
    <xf numFmtId="3" fontId="33" fillId="0" borderId="61" xfId="0" applyNumberFormat="1" applyFont="1" applyFill="1" applyBorder="1" applyAlignment="1">
      <alignment horizontal="center" vertical="center"/>
    </xf>
    <xf numFmtId="0" fontId="37" fillId="0" borderId="73" xfId="0" applyFont="1" applyFill="1" applyBorder="1" applyAlignment="1">
      <alignment horizontal="center" vertical="center" wrapText="1"/>
    </xf>
    <xf numFmtId="3" fontId="45" fillId="0" borderId="39" xfId="0" applyNumberFormat="1" applyFont="1" applyFill="1" applyBorder="1" applyAlignment="1">
      <alignment horizontal="center" vertical="center"/>
    </xf>
    <xf numFmtId="3" fontId="41" fillId="0" borderId="40" xfId="58940" applyNumberFormat="1" applyFont="1" applyFill="1" applyBorder="1" applyAlignment="1">
      <alignment horizontal="center" vertical="center"/>
    </xf>
    <xf numFmtId="3" fontId="41" fillId="0" borderId="70" xfId="58940" applyNumberFormat="1" applyFont="1" applyFill="1" applyBorder="1" applyAlignment="1">
      <alignment horizontal="center" vertical="center"/>
    </xf>
    <xf numFmtId="3" fontId="45" fillId="0" borderId="55" xfId="0" applyNumberFormat="1" applyFont="1" applyFill="1" applyBorder="1" applyAlignment="1">
      <alignment horizontal="center" vertical="center"/>
    </xf>
    <xf numFmtId="3" fontId="45" fillId="0" borderId="40" xfId="0" applyNumberFormat="1" applyFont="1" applyFill="1" applyBorder="1" applyAlignment="1">
      <alignment horizontal="center" vertical="center"/>
    </xf>
    <xf numFmtId="3" fontId="35" fillId="74" borderId="11" xfId="61317" applyNumberFormat="1" applyFont="1" applyFill="1" applyBorder="1" applyAlignment="1">
      <alignment horizontal="center" vertical="center" wrapText="1"/>
    </xf>
    <xf numFmtId="0" fontId="45" fillId="74" borderId="42" xfId="61317" applyFont="1" applyFill="1" applyBorder="1" applyAlignment="1">
      <alignment horizontal="center" vertical="center" wrapText="1"/>
    </xf>
    <xf numFmtId="0" fontId="45" fillId="74" borderId="14" xfId="61317" applyFont="1" applyFill="1" applyBorder="1" applyAlignment="1">
      <alignment horizontal="center" vertical="center" wrapText="1"/>
    </xf>
    <xf numFmtId="3" fontId="100" fillId="74" borderId="55" xfId="61320" applyNumberFormat="1" applyFont="1" applyFill="1" applyBorder="1" applyAlignment="1">
      <alignment horizontal="center" vertical="center"/>
    </xf>
    <xf numFmtId="0" fontId="45" fillId="74" borderId="11" xfId="61329" applyFont="1" applyFill="1" applyBorder="1" applyAlignment="1">
      <alignment horizontal="center" vertical="center" wrapText="1"/>
    </xf>
    <xf numFmtId="3" fontId="34" fillId="74" borderId="11" xfId="61352" applyNumberFormat="1" applyFont="1" applyFill="1" applyBorder="1" applyAlignment="1">
      <alignment horizontal="center" vertical="center" wrapText="1"/>
    </xf>
    <xf numFmtId="0" fontId="2" fillId="74" borderId="0" xfId="61352" applyFill="1"/>
    <xf numFmtId="0" fontId="116" fillId="74" borderId="11" xfId="61352" applyFont="1" applyFill="1" applyBorder="1" applyAlignment="1">
      <alignment horizontal="center" vertical="center" wrapText="1"/>
    </xf>
    <xf numFmtId="0" fontId="116" fillId="74" borderId="15" xfId="61352" applyFont="1" applyFill="1" applyBorder="1" applyAlignment="1">
      <alignment horizontal="center" vertical="center" wrapText="1"/>
    </xf>
    <xf numFmtId="49" fontId="117" fillId="74" borderId="11" xfId="61352" applyNumberFormat="1" applyFont="1" applyFill="1" applyBorder="1" applyAlignment="1">
      <alignment horizontal="center" vertical="center" wrapText="1"/>
    </xf>
    <xf numFmtId="0" fontId="36" fillId="74" borderId="11" xfId="61352" applyFont="1" applyFill="1" applyBorder="1" applyAlignment="1">
      <alignment vertical="center" wrapText="1"/>
    </xf>
    <xf numFmtId="3" fontId="36" fillId="74" borderId="11" xfId="61352" applyNumberFormat="1" applyFont="1" applyFill="1" applyBorder="1" applyAlignment="1">
      <alignment horizontal="right" vertical="center" wrapText="1"/>
    </xf>
    <xf numFmtId="0" fontId="36" fillId="74" borderId="11" xfId="61352" applyFont="1" applyFill="1" applyBorder="1" applyAlignment="1">
      <alignment horizontal="right" vertical="center"/>
    </xf>
    <xf numFmtId="0" fontId="36" fillId="74" borderId="11" xfId="61352" applyFont="1" applyFill="1" applyBorder="1" applyAlignment="1">
      <alignment horizontal="right" vertical="center" wrapText="1"/>
    </xf>
    <xf numFmtId="0" fontId="36" fillId="74" borderId="15" xfId="61352" applyFont="1" applyFill="1" applyBorder="1" applyAlignment="1">
      <alignment horizontal="right" vertical="center" wrapText="1"/>
    </xf>
    <xf numFmtId="3" fontId="2" fillId="74" borderId="0" xfId="61352" applyNumberFormat="1" applyFill="1"/>
    <xf numFmtId="0" fontId="39" fillId="74" borderId="11" xfId="61352" applyFont="1" applyFill="1" applyBorder="1" applyAlignment="1">
      <alignment horizontal="center" vertical="center"/>
    </xf>
    <xf numFmtId="0" fontId="39" fillId="74" borderId="11" xfId="61352" applyFont="1" applyFill="1" applyBorder="1" applyAlignment="1">
      <alignment vertical="center" wrapText="1"/>
    </xf>
    <xf numFmtId="3" fontId="39" fillId="74" borderId="11" xfId="61352" applyNumberFormat="1" applyFont="1" applyFill="1" applyBorder="1" applyAlignment="1">
      <alignment horizontal="right" vertical="center" wrapText="1"/>
    </xf>
    <xf numFmtId="0" fontId="106" fillId="0" borderId="31" xfId="0" applyFont="1" applyFill="1" applyBorder="1" applyAlignment="1">
      <alignment horizontal="center" vertical="center"/>
    </xf>
    <xf numFmtId="0" fontId="104" fillId="0" borderId="11" xfId="0" applyFont="1" applyFill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 wrapText="1"/>
    </xf>
    <xf numFmtId="49" fontId="41" fillId="0" borderId="11" xfId="58940" applyNumberFormat="1" applyFont="1" applyFill="1" applyBorder="1" applyAlignment="1">
      <alignment horizontal="center" vertical="center"/>
    </xf>
    <xf numFmtId="3" fontId="33" fillId="0" borderId="0" xfId="61353" applyNumberFormat="1" applyFont="1" applyFill="1"/>
    <xf numFmtId="3" fontId="33" fillId="0" borderId="31" xfId="61353" applyNumberFormat="1" applyFont="1" applyFill="1" applyBorder="1" applyAlignment="1">
      <alignment horizontal="center" vertical="center" wrapText="1"/>
    </xf>
    <xf numFmtId="3" fontId="34" fillId="0" borderId="31" xfId="61353" applyNumberFormat="1" applyFont="1" applyFill="1" applyBorder="1" applyAlignment="1">
      <alignment horizontal="center" vertical="center" wrapText="1"/>
    </xf>
    <xf numFmtId="3" fontId="34" fillId="0" borderId="14" xfId="61354" applyNumberFormat="1" applyFont="1" applyFill="1" applyBorder="1" applyAlignment="1">
      <alignment horizontal="center" vertical="center" wrapText="1"/>
    </xf>
    <xf numFmtId="0" fontId="33" fillId="0" borderId="0" xfId="61355" applyFont="1" applyFill="1" applyAlignment="1">
      <alignment horizontal="center" vertical="center" wrapText="1"/>
    </xf>
    <xf numFmtId="3" fontId="36" fillId="0" borderId="11" xfId="61353" applyNumberFormat="1" applyFont="1" applyFill="1" applyBorder="1" applyAlignment="1">
      <alignment horizontal="center" vertical="center" wrapText="1"/>
    </xf>
    <xf numFmtId="3" fontId="36" fillId="0" borderId="11" xfId="61353" applyNumberFormat="1" applyFont="1" applyFill="1" applyBorder="1" applyAlignment="1">
      <alignment horizontal="center" vertical="center"/>
    </xf>
    <xf numFmtId="3" fontId="37" fillId="0" borderId="11" xfId="61353" applyNumberFormat="1" applyFont="1" applyFill="1" applyBorder="1" applyAlignment="1">
      <alignment horizontal="center"/>
    </xf>
    <xf numFmtId="3" fontId="37" fillId="0" borderId="0" xfId="61353" applyNumberFormat="1" applyFont="1" applyFill="1"/>
    <xf numFmtId="3" fontId="39" fillId="0" borderId="11" xfId="61353" applyNumberFormat="1" applyFont="1" applyFill="1" applyBorder="1" applyAlignment="1">
      <alignment horizontal="center" vertical="center"/>
    </xf>
    <xf numFmtId="3" fontId="39" fillId="0" borderId="11" xfId="61353" applyNumberFormat="1" applyFont="1" applyFill="1" applyBorder="1" applyAlignment="1">
      <alignment horizontal="center" vertical="center" wrapText="1"/>
    </xf>
    <xf numFmtId="3" fontId="40" fillId="0" borderId="11" xfId="61353" applyNumberFormat="1" applyFont="1" applyFill="1" applyBorder="1" applyAlignment="1">
      <alignment horizontal="center" vertical="center"/>
    </xf>
    <xf numFmtId="172" fontId="37" fillId="0" borderId="0" xfId="61353" applyNumberFormat="1" applyFont="1" applyFill="1"/>
    <xf numFmtId="173" fontId="37" fillId="0" borderId="0" xfId="61353" applyNumberFormat="1" applyFont="1" applyFill="1"/>
    <xf numFmtId="3" fontId="37" fillId="0" borderId="11" xfId="61353" applyNumberFormat="1" applyFont="1" applyFill="1" applyBorder="1" applyAlignment="1">
      <alignment horizontal="center" vertical="center"/>
    </xf>
    <xf numFmtId="4" fontId="37" fillId="0" borderId="0" xfId="61353" applyNumberFormat="1" applyFont="1" applyFill="1"/>
    <xf numFmtId="3" fontId="34" fillId="0" borderId="11" xfId="61353" applyNumberFormat="1" applyFont="1" applyFill="1" applyBorder="1" applyAlignment="1">
      <alignment horizontal="center" vertical="center"/>
    </xf>
    <xf numFmtId="3" fontId="33" fillId="0" borderId="11" xfId="61353" applyNumberFormat="1" applyFont="1" applyFill="1" applyBorder="1" applyAlignment="1">
      <alignment horizontal="center" vertical="center"/>
    </xf>
    <xf numFmtId="4" fontId="33" fillId="0" borderId="0" xfId="61353" applyNumberFormat="1" applyFont="1" applyFill="1"/>
    <xf numFmtId="3" fontId="33" fillId="0" borderId="11" xfId="61353" applyNumberFormat="1" applyFont="1" applyFill="1" applyBorder="1" applyAlignment="1">
      <alignment horizontal="center" vertical="center" wrapText="1"/>
    </xf>
    <xf numFmtId="3" fontId="33" fillId="0" borderId="11" xfId="61353" applyNumberFormat="1" applyFont="1" applyFill="1" applyBorder="1" applyAlignment="1">
      <alignment horizontal="center"/>
    </xf>
    <xf numFmtId="0" fontId="33" fillId="0" borderId="0" xfId="61356" applyFont="1" applyFill="1"/>
    <xf numFmtId="0" fontId="36" fillId="0" borderId="11" xfId="61356" applyFont="1" applyFill="1" applyBorder="1" applyAlignment="1">
      <alignment horizontal="center" vertical="center" wrapText="1"/>
    </xf>
    <xf numFmtId="0" fontId="36" fillId="0" borderId="11" xfId="61356" applyFont="1" applyFill="1" applyBorder="1" applyAlignment="1">
      <alignment horizontal="center" vertical="center"/>
    </xf>
    <xf numFmtId="3" fontId="36" fillId="0" borderId="11" xfId="61356" applyNumberFormat="1" applyFont="1" applyFill="1" applyBorder="1" applyAlignment="1">
      <alignment horizontal="center" vertical="center"/>
    </xf>
    <xf numFmtId="0" fontId="37" fillId="0" borderId="0" xfId="61356" applyFont="1" applyFill="1"/>
    <xf numFmtId="3" fontId="39" fillId="0" borderId="11" xfId="61356" applyNumberFormat="1" applyFont="1" applyFill="1" applyBorder="1" applyAlignment="1">
      <alignment horizontal="center" vertical="center"/>
    </xf>
    <xf numFmtId="3" fontId="34" fillId="0" borderId="11" xfId="61356" applyNumberFormat="1" applyFont="1" applyFill="1" applyBorder="1" applyAlignment="1">
      <alignment horizontal="center" vertical="center"/>
    </xf>
    <xf numFmtId="3" fontId="33" fillId="0" borderId="11" xfId="61356" applyNumberFormat="1" applyFont="1" applyFill="1" applyBorder="1" applyAlignment="1">
      <alignment horizontal="center" vertical="center"/>
    </xf>
    <xf numFmtId="0" fontId="33" fillId="0" borderId="11" xfId="61356" applyFont="1" applyFill="1" applyBorder="1" applyAlignment="1">
      <alignment horizontal="center"/>
    </xf>
    <xf numFmtId="3" fontId="33" fillId="0" borderId="11" xfId="61356" applyNumberFormat="1" applyFont="1" applyFill="1" applyBorder="1" applyAlignment="1">
      <alignment horizontal="center"/>
    </xf>
    <xf numFmtId="0" fontId="33" fillId="0" borderId="0" xfId="61358" applyFont="1" applyFill="1"/>
    <xf numFmtId="0" fontId="34" fillId="0" borderId="15" xfId="61358" applyFont="1" applyFill="1" applyBorder="1" applyAlignment="1">
      <alignment horizontal="center" vertical="center" wrapText="1"/>
    </xf>
    <xf numFmtId="0" fontId="33" fillId="0" borderId="11" xfId="61358" applyFont="1" applyFill="1" applyBorder="1" applyAlignment="1">
      <alignment horizontal="center" vertical="center" wrapText="1"/>
    </xf>
    <xf numFmtId="0" fontId="36" fillId="0" borderId="11" xfId="61358" applyFont="1" applyFill="1" applyBorder="1" applyAlignment="1">
      <alignment horizontal="center" vertical="center" wrapText="1"/>
    </xf>
    <xf numFmtId="0" fontId="36" fillId="0" borderId="11" xfId="61358" applyFont="1" applyFill="1" applyBorder="1" applyAlignment="1">
      <alignment horizontal="center" vertical="center"/>
    </xf>
    <xf numFmtId="3" fontId="36" fillId="0" borderId="11" xfId="61358" applyNumberFormat="1" applyFont="1" applyFill="1" applyBorder="1" applyAlignment="1">
      <alignment horizontal="center" vertical="center"/>
    </xf>
    <xf numFmtId="0" fontId="37" fillId="0" borderId="11" xfId="61358" applyFont="1" applyFill="1" applyBorder="1" applyAlignment="1">
      <alignment horizontal="center"/>
    </xf>
    <xf numFmtId="0" fontId="37" fillId="0" borderId="0" xfId="61358" applyFont="1" applyFill="1"/>
    <xf numFmtId="3" fontId="39" fillId="0" borderId="11" xfId="61358" applyNumberFormat="1" applyFont="1" applyFill="1" applyBorder="1" applyAlignment="1">
      <alignment horizontal="center" vertical="center"/>
    </xf>
    <xf numFmtId="3" fontId="34" fillId="0" borderId="11" xfId="61358" applyNumberFormat="1" applyFont="1" applyFill="1" applyBorder="1" applyAlignment="1">
      <alignment horizontal="center" vertical="center"/>
    </xf>
    <xf numFmtId="0" fontId="33" fillId="0" borderId="11" xfId="61358" applyFont="1" applyFill="1" applyBorder="1" applyAlignment="1">
      <alignment horizontal="center"/>
    </xf>
    <xf numFmtId="0" fontId="34" fillId="0" borderId="31" xfId="61358" applyFont="1" applyBorder="1" applyAlignment="1">
      <alignment horizontal="center" vertical="center" wrapText="1"/>
    </xf>
    <xf numFmtId="0" fontId="34" fillId="0" borderId="15" xfId="61358" applyFont="1" applyBorder="1" applyAlignment="1">
      <alignment horizontal="center" vertical="center" wrapText="1"/>
    </xf>
    <xf numFmtId="0" fontId="33" fillId="0" borderId="11" xfId="61358" applyFont="1" applyBorder="1" applyAlignment="1">
      <alignment horizontal="center" vertical="center" wrapText="1"/>
    </xf>
    <xf numFmtId="0" fontId="36" fillId="0" borderId="11" xfId="61358" applyFont="1" applyBorder="1" applyAlignment="1">
      <alignment horizontal="center" vertical="center" wrapText="1"/>
    </xf>
    <xf numFmtId="0" fontId="36" fillId="0" borderId="11" xfId="61358" applyFont="1" applyBorder="1" applyAlignment="1">
      <alignment horizontal="center" vertical="center"/>
    </xf>
    <xf numFmtId="3" fontId="36" fillId="0" borderId="11" xfId="61358" applyNumberFormat="1" applyFont="1" applyBorder="1" applyAlignment="1">
      <alignment horizontal="center" vertical="center"/>
    </xf>
    <xf numFmtId="3" fontId="39" fillId="0" borderId="11" xfId="61358" applyNumberFormat="1" applyFont="1" applyBorder="1" applyAlignment="1">
      <alignment horizontal="center" vertical="center"/>
    </xf>
    <xf numFmtId="3" fontId="41" fillId="0" borderId="31" xfId="58921" applyNumberFormat="1" applyFont="1" applyBorder="1" applyAlignment="1">
      <alignment horizontal="center" vertical="center"/>
    </xf>
    <xf numFmtId="3" fontId="43" fillId="0" borderId="31" xfId="59012" applyNumberFormat="1" applyFont="1" applyBorder="1" applyAlignment="1">
      <alignment horizontal="left" vertical="center" wrapText="1"/>
    </xf>
    <xf numFmtId="0" fontId="104" fillId="0" borderId="0" xfId="61357" applyFont="1" applyFill="1" applyAlignment="1">
      <alignment vertical="center" wrapText="1"/>
    </xf>
    <xf numFmtId="0" fontId="104" fillId="0" borderId="11" xfId="61357" applyFont="1" applyFill="1" applyBorder="1" applyAlignment="1">
      <alignment horizontal="center" vertical="center" wrapText="1"/>
    </xf>
    <xf numFmtId="0" fontId="104" fillId="0" borderId="65" xfId="61357" applyFont="1" applyFill="1" applyBorder="1" applyAlignment="1">
      <alignment horizontal="center" vertical="center" wrapText="1"/>
    </xf>
    <xf numFmtId="0" fontId="104" fillId="0" borderId="31" xfId="61357" applyFont="1" applyFill="1" applyBorder="1" applyAlignment="1">
      <alignment horizontal="center" vertical="center" wrapText="1"/>
    </xf>
    <xf numFmtId="3" fontId="109" fillId="0" borderId="11" xfId="61357" applyNumberFormat="1" applyFont="1" applyFill="1" applyBorder="1" applyAlignment="1">
      <alignment horizontal="center" vertical="center" wrapText="1"/>
    </xf>
    <xf numFmtId="3" fontId="109" fillId="0" borderId="0" xfId="0" applyNumberFormat="1" applyFont="1" applyFill="1"/>
    <xf numFmtId="0" fontId="1" fillId="0" borderId="0" xfId="61358"/>
    <xf numFmtId="3" fontId="1" fillId="0" borderId="0" xfId="61358" applyNumberFormat="1"/>
    <xf numFmtId="0" fontId="34" fillId="0" borderId="11" xfId="61360" applyFont="1" applyFill="1" applyBorder="1" applyAlignment="1">
      <alignment horizontal="center" vertical="center" wrapText="1"/>
    </xf>
    <xf numFmtId="0" fontId="33" fillId="0" borderId="11" xfId="61360" applyFont="1" applyFill="1" applyBorder="1" applyAlignment="1">
      <alignment horizontal="center" vertical="center" wrapText="1"/>
    </xf>
    <xf numFmtId="3" fontId="115" fillId="0" borderId="11" xfId="61358" applyNumberFormat="1" applyFont="1" applyFill="1" applyBorder="1" applyAlignment="1">
      <alignment horizontal="center" vertical="center"/>
    </xf>
    <xf numFmtId="0" fontId="150" fillId="0" borderId="0" xfId="61358" applyFont="1"/>
    <xf numFmtId="3" fontId="43" fillId="0" borderId="31" xfId="57801" applyNumberFormat="1" applyFont="1" applyFill="1" applyBorder="1" applyAlignment="1">
      <alignment horizontal="left" vertical="center" wrapText="1"/>
    </xf>
    <xf numFmtId="0" fontId="35" fillId="0" borderId="0" xfId="0" applyFont="1" applyFill="1" applyAlignment="1">
      <alignment horizontal="center" vertical="center"/>
    </xf>
    <xf numFmtId="0" fontId="99" fillId="0" borderId="0" xfId="61357" applyFont="1" applyFill="1" applyAlignment="1">
      <alignment vertical="center" wrapText="1"/>
    </xf>
    <xf numFmtId="0" fontId="35" fillId="0" borderId="0" xfId="0" applyFont="1" applyFill="1" applyAlignment="1">
      <alignment horizontal="left" vertical="center"/>
    </xf>
    <xf numFmtId="0" fontId="45" fillId="0" borderId="11" xfId="61357" applyFont="1" applyFill="1" applyBorder="1" applyAlignment="1">
      <alignment horizontal="center" vertical="center" wrapText="1"/>
    </xf>
    <xf numFmtId="0" fontId="100" fillId="0" borderId="31" xfId="0" applyFont="1" applyFill="1" applyBorder="1" applyAlignment="1">
      <alignment horizontal="center" vertical="center"/>
    </xf>
    <xf numFmtId="0" fontId="37" fillId="0" borderId="65" xfId="61357" applyFont="1" applyFill="1" applyBorder="1" applyAlignment="1">
      <alignment horizontal="center" vertical="center" wrapText="1"/>
    </xf>
    <xf numFmtId="0" fontId="37" fillId="0" borderId="31" xfId="61357" applyFont="1" applyFill="1" applyBorder="1" applyAlignment="1">
      <alignment horizontal="center" vertical="center" wrapText="1"/>
    </xf>
    <xf numFmtId="0" fontId="37" fillId="0" borderId="11" xfId="61357" applyFont="1" applyFill="1" applyBorder="1" applyAlignment="1">
      <alignment horizontal="center" vertical="center" wrapText="1"/>
    </xf>
    <xf numFmtId="3" fontId="97" fillId="0" borderId="11" xfId="61357" applyNumberFormat="1" applyFont="1" applyFill="1" applyBorder="1" applyAlignment="1">
      <alignment horizontal="center" vertical="center" wrapText="1"/>
    </xf>
    <xf numFmtId="49" fontId="45" fillId="0" borderId="11" xfId="3" applyNumberFormat="1" applyFont="1" applyFill="1" applyBorder="1" applyAlignment="1">
      <alignment horizontal="center" vertical="center" wrapText="1"/>
    </xf>
    <xf numFmtId="2" fontId="45" fillId="0" borderId="0" xfId="0" applyNumberFormat="1" applyFont="1" applyFill="1"/>
    <xf numFmtId="0" fontId="45" fillId="0" borderId="11" xfId="3" applyFont="1" applyFill="1" applyBorder="1" applyAlignment="1">
      <alignment horizontal="center" vertical="center" wrapText="1"/>
    </xf>
    <xf numFmtId="49" fontId="45" fillId="0" borderId="11" xfId="3" applyNumberFormat="1" applyFont="1" applyFill="1" applyBorder="1" applyAlignment="1">
      <alignment horizontal="center" vertical="center"/>
    </xf>
    <xf numFmtId="49" fontId="35" fillId="0" borderId="11" xfId="3" applyNumberFormat="1" applyFont="1" applyFill="1" applyBorder="1" applyAlignment="1">
      <alignment horizontal="center" vertical="center" wrapText="1"/>
    </xf>
    <xf numFmtId="49" fontId="45" fillId="0" borderId="11" xfId="0" applyNumberFormat="1" applyFont="1" applyFill="1" applyBorder="1" applyAlignment="1">
      <alignment horizontal="center" vertical="center" wrapText="1"/>
    </xf>
    <xf numFmtId="0" fontId="101" fillId="0" borderId="11" xfId="0" applyFont="1" applyFill="1" applyBorder="1" applyAlignment="1">
      <alignment horizontal="left" vertical="center" wrapText="1"/>
    </xf>
    <xf numFmtId="49" fontId="41" fillId="0" borderId="11" xfId="3" applyNumberFormat="1" applyFont="1" applyFill="1" applyBorder="1" applyAlignment="1">
      <alignment horizontal="center" vertical="center"/>
    </xf>
    <xf numFmtId="0" fontId="33" fillId="0" borderId="11" xfId="3" applyFont="1" applyFill="1" applyBorder="1" applyAlignment="1">
      <alignment horizontal="left" vertical="center" wrapText="1"/>
    </xf>
    <xf numFmtId="0" fontId="45" fillId="0" borderId="11" xfId="0" applyFont="1" applyFill="1" applyBorder="1" applyAlignment="1">
      <alignment horizontal="left" vertical="center" wrapText="1"/>
    </xf>
    <xf numFmtId="49" fontId="45" fillId="0" borderId="11" xfId="3" applyNumberFormat="1" applyFont="1" applyFill="1" applyBorder="1" applyAlignment="1">
      <alignment horizontal="left" vertical="center" wrapText="1"/>
    </xf>
    <xf numFmtId="0" fontId="45" fillId="0" borderId="0" xfId="0" applyFont="1" applyFill="1" applyAlignment="1">
      <alignment vertical="center" wrapText="1"/>
    </xf>
    <xf numFmtId="0" fontId="36" fillId="0" borderId="65" xfId="0" applyFont="1" applyFill="1" applyBorder="1" applyAlignment="1">
      <alignment horizontal="center" vertical="center" wrapText="1"/>
    </xf>
    <xf numFmtId="4" fontId="106" fillId="0" borderId="11" xfId="61361" applyNumberFormat="1" applyFont="1" applyFill="1" applyBorder="1" applyAlignment="1">
      <alignment vertical="center" wrapText="1"/>
    </xf>
    <xf numFmtId="49" fontId="104" fillId="74" borderId="11" xfId="3" applyNumberFormat="1" applyFont="1" applyFill="1" applyBorder="1" applyAlignment="1">
      <alignment horizontal="center" vertical="center" wrapText="1"/>
    </xf>
    <xf numFmtId="0" fontId="106" fillId="74" borderId="11" xfId="3" applyFont="1" applyFill="1" applyBorder="1" applyAlignment="1">
      <alignment horizontal="left" vertical="center" wrapText="1"/>
    </xf>
    <xf numFmtId="4" fontId="106" fillId="0" borderId="11" xfId="61361" applyNumberFormat="1" applyFont="1" applyFill="1" applyBorder="1" applyAlignment="1">
      <alignment horizontal="left" vertical="center" wrapText="1"/>
    </xf>
    <xf numFmtId="3" fontId="151" fillId="74" borderId="0" xfId="59012" applyNumberFormat="1" applyFont="1" applyFill="1" applyAlignment="1">
      <alignment horizontal="center"/>
    </xf>
    <xf numFmtId="3" fontId="35" fillId="74" borderId="0" xfId="59012" applyNumberFormat="1" applyFont="1" applyFill="1" applyAlignment="1">
      <alignment horizontal="center"/>
    </xf>
    <xf numFmtId="3" fontId="35" fillId="74" borderId="0" xfId="59012" applyNumberFormat="1" applyFont="1" applyFill="1"/>
    <xf numFmtId="3" fontId="35" fillId="74" borderId="0" xfId="59012" applyNumberFormat="1" applyFont="1" applyFill="1" applyAlignment="1">
      <alignment horizontal="center" vertical="center"/>
    </xf>
    <xf numFmtId="0" fontId="35" fillId="0" borderId="11" xfId="61349" applyFont="1" applyFill="1" applyBorder="1" applyAlignment="1">
      <alignment horizontal="center" vertical="center"/>
    </xf>
    <xf numFmtId="3" fontId="37" fillId="0" borderId="73" xfId="0" applyNumberFormat="1" applyFont="1" applyFill="1" applyBorder="1" applyAlignment="1">
      <alignment horizontal="center" vertical="center" wrapText="1"/>
    </xf>
    <xf numFmtId="3" fontId="37" fillId="0" borderId="39" xfId="0" applyNumberFormat="1" applyFont="1" applyFill="1" applyBorder="1" applyAlignment="1">
      <alignment horizontal="center" vertical="center" wrapText="1"/>
    </xf>
    <xf numFmtId="3" fontId="37" fillId="0" borderId="11" xfId="0" applyNumberFormat="1" applyFont="1" applyFill="1" applyBorder="1" applyAlignment="1">
      <alignment horizontal="center" vertical="center" wrapText="1"/>
    </xf>
    <xf numFmtId="3" fontId="40" fillId="0" borderId="11" xfId="0" applyNumberFormat="1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/>
    </xf>
    <xf numFmtId="49" fontId="41" fillId="0" borderId="11" xfId="58940" applyNumberFormat="1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left" vertical="center"/>
    </xf>
    <xf numFmtId="0" fontId="33" fillId="0" borderId="0" xfId="0" applyFont="1" applyFill="1" applyAlignment="1">
      <alignment horizontal="right" vertical="center"/>
    </xf>
    <xf numFmtId="0" fontId="41" fillId="0" borderId="54" xfId="0" quotePrefix="1" applyFont="1" applyFill="1" applyBorder="1" applyAlignment="1">
      <alignment horizontal="center" vertical="center"/>
    </xf>
    <xf numFmtId="0" fontId="98" fillId="74" borderId="0" xfId="61352" applyFont="1" applyFill="1" applyAlignment="1">
      <alignment horizontal="center" vertical="center" wrapText="1"/>
    </xf>
    <xf numFmtId="0" fontId="36" fillId="74" borderId="11" xfId="61352" applyFont="1" applyFill="1" applyBorder="1" applyAlignment="1">
      <alignment horizontal="center" vertical="center" wrapText="1"/>
    </xf>
    <xf numFmtId="0" fontId="36" fillId="74" borderId="11" xfId="61352" applyFont="1" applyFill="1" applyBorder="1" applyAlignment="1">
      <alignment horizontal="center" vertical="center"/>
    </xf>
    <xf numFmtId="0" fontId="36" fillId="74" borderId="15" xfId="61352" applyFont="1" applyFill="1" applyBorder="1" applyAlignment="1">
      <alignment horizontal="center" vertical="center" wrapText="1"/>
    </xf>
    <xf numFmtId="0" fontId="111" fillId="0" borderId="31" xfId="61349" applyFont="1" applyFill="1" applyBorder="1" applyAlignment="1">
      <alignment horizontal="center" vertical="center" wrapText="1"/>
    </xf>
    <xf numFmtId="0" fontId="111" fillId="0" borderId="12" xfId="61349" applyFont="1" applyFill="1" applyBorder="1" applyAlignment="1">
      <alignment horizontal="center" vertical="center" wrapText="1"/>
    </xf>
    <xf numFmtId="0" fontId="111" fillId="0" borderId="14" xfId="61349" applyFont="1" applyFill="1" applyBorder="1" applyAlignment="1">
      <alignment horizontal="center" vertical="center" wrapText="1"/>
    </xf>
    <xf numFmtId="0" fontId="111" fillId="0" borderId="31" xfId="61349" applyFont="1" applyFill="1" applyBorder="1" applyAlignment="1" applyProtection="1">
      <alignment horizontal="center" vertical="center" wrapText="1"/>
      <protection locked="0"/>
    </xf>
    <xf numFmtId="0" fontId="111" fillId="0" borderId="12" xfId="61349" applyFont="1" applyFill="1" applyBorder="1" applyAlignment="1" applyProtection="1">
      <alignment horizontal="center" vertical="center" wrapText="1"/>
      <protection locked="0"/>
    </xf>
    <xf numFmtId="0" fontId="111" fillId="0" borderId="14" xfId="61349" applyFont="1" applyFill="1" applyBorder="1" applyAlignment="1" applyProtection="1">
      <alignment horizontal="center" vertical="center" wrapText="1"/>
      <protection locked="0"/>
    </xf>
    <xf numFmtId="3" fontId="41" fillId="0" borderId="31" xfId="61349" applyNumberFormat="1" applyFont="1" applyFill="1" applyBorder="1" applyAlignment="1">
      <alignment horizontal="center" vertical="center" wrapText="1"/>
    </xf>
    <xf numFmtId="3" fontId="41" fillId="0" borderId="12" xfId="61349" applyNumberFormat="1" applyFont="1" applyFill="1" applyBorder="1" applyAlignment="1">
      <alignment horizontal="center" vertical="center" wrapText="1"/>
    </xf>
    <xf numFmtId="3" fontId="41" fillId="0" borderId="14" xfId="61349" applyNumberFormat="1" applyFont="1" applyFill="1" applyBorder="1" applyAlignment="1">
      <alignment horizontal="center" vertical="center" wrapText="1"/>
    </xf>
    <xf numFmtId="3" fontId="41" fillId="0" borderId="11" xfId="61349" applyNumberFormat="1" applyFont="1" applyFill="1" applyBorder="1" applyAlignment="1">
      <alignment horizontal="center" vertical="center" wrapText="1"/>
    </xf>
    <xf numFmtId="0" fontId="112" fillId="0" borderId="0" xfId="61349" applyFont="1" applyFill="1" applyBorder="1" applyAlignment="1">
      <alignment horizontal="center" vertical="center" wrapText="1"/>
    </xf>
    <xf numFmtId="0" fontId="35" fillId="0" borderId="11" xfId="61349" applyFont="1" applyFill="1" applyBorder="1" applyAlignment="1">
      <alignment horizontal="center" vertical="center"/>
    </xf>
    <xf numFmtId="0" fontId="35" fillId="0" borderId="11" xfId="61349" applyFont="1" applyFill="1" applyBorder="1" applyAlignment="1">
      <alignment horizontal="center" vertical="center" wrapText="1"/>
    </xf>
    <xf numFmtId="0" fontId="41" fillId="0" borderId="11" xfId="61349" applyFont="1" applyFill="1" applyBorder="1" applyAlignment="1">
      <alignment horizontal="center" vertical="center" wrapText="1"/>
    </xf>
    <xf numFmtId="3" fontId="41" fillId="0" borderId="15" xfId="61349" applyNumberFormat="1" applyFont="1" applyFill="1" applyBorder="1" applyAlignment="1">
      <alignment horizontal="center" vertical="center" wrapText="1"/>
    </xf>
    <xf numFmtId="3" fontId="41" fillId="0" borderId="72" xfId="61349" applyNumberFormat="1" applyFont="1" applyFill="1" applyBorder="1" applyAlignment="1">
      <alignment horizontal="center" vertical="center" wrapText="1"/>
    </xf>
    <xf numFmtId="3" fontId="41" fillId="0" borderId="73" xfId="61349" applyNumberFormat="1" applyFont="1" applyFill="1" applyBorder="1" applyAlignment="1">
      <alignment horizontal="center" vertical="center" wrapText="1"/>
    </xf>
    <xf numFmtId="0" fontId="38" fillId="75" borderId="15" xfId="59012" applyFont="1" applyFill="1" applyBorder="1" applyAlignment="1" applyProtection="1">
      <alignment horizontal="center" vertical="center" wrapText="1"/>
      <protection locked="0"/>
    </xf>
    <xf numFmtId="0" fontId="38" fillId="75" borderId="73" xfId="59012" applyFont="1" applyFill="1" applyBorder="1" applyAlignment="1" applyProtection="1">
      <alignment horizontal="center" vertical="center" wrapText="1"/>
      <protection locked="0"/>
    </xf>
    <xf numFmtId="0" fontId="111" fillId="0" borderId="10" xfId="59012" applyFont="1" applyBorder="1" applyAlignment="1">
      <alignment horizontal="center" vertical="center" wrapText="1"/>
    </xf>
    <xf numFmtId="0" fontId="38" fillId="74" borderId="31" xfId="59012" applyFont="1" applyFill="1" applyBorder="1" applyAlignment="1" applyProtection="1">
      <alignment horizontal="center" vertical="center" wrapText="1"/>
      <protection locked="0"/>
    </xf>
    <xf numFmtId="0" fontId="38" fillId="74" borderId="12" xfId="59012" applyFont="1" applyFill="1" applyBorder="1" applyAlignment="1" applyProtection="1">
      <alignment horizontal="center" vertical="center" wrapText="1"/>
      <protection locked="0"/>
    </xf>
    <xf numFmtId="0" fontId="38" fillId="74" borderId="14" xfId="59012" applyFont="1" applyFill="1" applyBorder="1" applyAlignment="1" applyProtection="1">
      <alignment horizontal="center" vertical="center" wrapText="1"/>
      <protection locked="0"/>
    </xf>
    <xf numFmtId="0" fontId="38" fillId="79" borderId="15" xfId="59012" applyFont="1" applyFill="1" applyBorder="1" applyAlignment="1" applyProtection="1">
      <alignment horizontal="center" vertical="center" wrapText="1"/>
      <protection locked="0"/>
    </xf>
    <xf numFmtId="0" fontId="38" fillId="79" borderId="73" xfId="59012" applyFont="1" applyFill="1" applyBorder="1" applyAlignment="1" applyProtection="1">
      <alignment horizontal="center" vertical="center" wrapText="1"/>
      <protection locked="0"/>
    </xf>
    <xf numFmtId="0" fontId="38" fillId="75" borderId="11" xfId="59012" applyFont="1" applyFill="1" applyBorder="1" applyAlignment="1" applyProtection="1">
      <alignment horizontal="center" vertical="center" wrapText="1"/>
      <protection locked="0"/>
    </xf>
    <xf numFmtId="3" fontId="38" fillId="74" borderId="72" xfId="58867" applyNumberFormat="1" applyFont="1" applyFill="1" applyBorder="1" applyAlignment="1">
      <alignment horizontal="center" vertical="center"/>
    </xf>
    <xf numFmtId="3" fontId="112" fillId="74" borderId="0" xfId="58867" applyNumberFormat="1" applyFont="1" applyFill="1" applyBorder="1" applyAlignment="1">
      <alignment horizontal="center" vertical="center" wrapText="1"/>
    </xf>
    <xf numFmtId="3" fontId="100" fillId="74" borderId="11" xfId="58867" applyNumberFormat="1" applyFont="1" applyFill="1" applyBorder="1" applyAlignment="1">
      <alignment horizontal="center" vertical="center" wrapText="1"/>
    </xf>
    <xf numFmtId="3" fontId="41" fillId="74" borderId="11" xfId="58867" applyNumberFormat="1" applyFont="1" applyFill="1" applyBorder="1" applyAlignment="1">
      <alignment horizontal="center" vertical="center"/>
    </xf>
    <xf numFmtId="3" fontId="100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41" fillId="74" borderId="11" xfId="59591" applyNumberFormat="1" applyFont="1" applyFill="1" applyBorder="1" applyAlignment="1">
      <alignment horizontal="center" vertical="center" wrapText="1"/>
    </xf>
    <xf numFmtId="0" fontId="118" fillId="0" borderId="0" xfId="59013" applyFont="1" applyFill="1" applyBorder="1" applyAlignment="1">
      <alignment horizontal="center" vertical="center" wrapText="1"/>
    </xf>
    <xf numFmtId="3" fontId="32" fillId="0" borderId="10" xfId="61353" applyNumberFormat="1" applyFont="1" applyFill="1" applyBorder="1" applyAlignment="1">
      <alignment horizontal="center" vertical="center" wrapText="1"/>
    </xf>
    <xf numFmtId="3" fontId="34" fillId="0" borderId="11" xfId="61353" applyNumberFormat="1" applyFont="1" applyFill="1" applyBorder="1" applyAlignment="1">
      <alignment horizontal="center" vertical="center" wrapText="1"/>
    </xf>
    <xf numFmtId="3" fontId="35" fillId="0" borderId="31" xfId="61353" applyNumberFormat="1" applyFont="1" applyFill="1" applyBorder="1" applyAlignment="1">
      <alignment horizontal="center" vertical="center" wrapText="1"/>
    </xf>
    <xf numFmtId="3" fontId="35" fillId="0" borderId="12" xfId="61353" applyNumberFormat="1" applyFont="1" applyFill="1" applyBorder="1" applyAlignment="1">
      <alignment horizontal="center" vertical="center" wrapText="1"/>
    </xf>
    <xf numFmtId="3" fontId="35" fillId="0" borderId="14" xfId="61353" applyNumberFormat="1" applyFont="1" applyFill="1" applyBorder="1" applyAlignment="1">
      <alignment horizontal="center" vertical="center" wrapText="1"/>
    </xf>
    <xf numFmtId="3" fontId="33" fillId="0" borderId="31" xfId="61353" applyNumberFormat="1" applyFont="1" applyFill="1" applyBorder="1" applyAlignment="1">
      <alignment horizontal="center" vertical="center" wrapText="1"/>
    </xf>
    <xf numFmtId="3" fontId="33" fillId="0" borderId="12" xfId="61353" applyNumberFormat="1" applyFont="1" applyFill="1" applyBorder="1" applyAlignment="1">
      <alignment horizontal="center" vertical="center" wrapText="1"/>
    </xf>
    <xf numFmtId="3" fontId="33" fillId="0" borderId="14" xfId="61353" applyNumberFormat="1" applyFont="1" applyFill="1" applyBorder="1" applyAlignment="1">
      <alignment horizontal="center" vertical="center" wrapText="1"/>
    </xf>
    <xf numFmtId="3" fontId="34" fillId="0" borderId="12" xfId="61353" applyNumberFormat="1" applyFont="1" applyFill="1" applyBorder="1" applyAlignment="1">
      <alignment horizontal="center" vertical="center" wrapText="1"/>
    </xf>
    <xf numFmtId="3" fontId="34" fillId="0" borderId="14" xfId="61353" applyNumberFormat="1" applyFont="1" applyFill="1" applyBorder="1" applyAlignment="1">
      <alignment horizontal="center" vertical="center" wrapText="1"/>
    </xf>
    <xf numFmtId="3" fontId="34" fillId="0" borderId="13" xfId="61353" applyNumberFormat="1" applyFont="1" applyFill="1" applyBorder="1" applyAlignment="1">
      <alignment horizontal="center" vertical="center" wrapText="1"/>
    </xf>
    <xf numFmtId="3" fontId="34" fillId="0" borderId="10" xfId="61353" applyNumberFormat="1" applyFont="1" applyFill="1" applyBorder="1" applyAlignment="1">
      <alignment horizontal="center" vertical="center" wrapText="1"/>
    </xf>
    <xf numFmtId="3" fontId="34" fillId="0" borderId="15" xfId="61353" applyNumberFormat="1" applyFont="1" applyFill="1" applyBorder="1" applyAlignment="1">
      <alignment horizontal="center" vertical="center" wrapText="1"/>
    </xf>
    <xf numFmtId="3" fontId="34" fillId="0" borderId="73" xfId="61353" applyNumberFormat="1" applyFont="1" applyFill="1" applyBorder="1" applyAlignment="1">
      <alignment horizontal="center" vertical="center" wrapText="1"/>
    </xf>
    <xf numFmtId="3" fontId="33" fillId="0" borderId="11" xfId="61353" applyNumberFormat="1" applyFont="1" applyFill="1" applyBorder="1" applyAlignment="1">
      <alignment horizontal="center"/>
    </xf>
    <xf numFmtId="0" fontId="38" fillId="0" borderId="11" xfId="59012" applyFont="1" applyFill="1" applyBorder="1" applyAlignment="1">
      <alignment horizontal="center" vertical="center"/>
    </xf>
    <xf numFmtId="4" fontId="41" fillId="0" borderId="15" xfId="59012" applyNumberFormat="1" applyFont="1" applyFill="1" applyBorder="1" applyAlignment="1">
      <alignment horizontal="center" vertical="center" wrapText="1"/>
    </xf>
    <xf numFmtId="4" fontId="41" fillId="0" borderId="72" xfId="59012" applyNumberFormat="1" applyFont="1" applyFill="1" applyBorder="1" applyAlignment="1">
      <alignment horizontal="center" vertical="center" wrapText="1"/>
    </xf>
    <xf numFmtId="4" fontId="41" fillId="0" borderId="73" xfId="59012" applyNumberFormat="1" applyFont="1" applyFill="1" applyBorder="1" applyAlignment="1">
      <alignment horizontal="center" vertical="center" wrapText="1"/>
    </xf>
    <xf numFmtId="4" fontId="38" fillId="0" borderId="15" xfId="59012" applyNumberFormat="1" applyFont="1" applyFill="1" applyBorder="1" applyAlignment="1">
      <alignment horizontal="center" vertical="center" wrapText="1"/>
    </xf>
    <xf numFmtId="4" fontId="38" fillId="0" borderId="72" xfId="59012" applyNumberFormat="1" applyFont="1" applyFill="1" applyBorder="1" applyAlignment="1">
      <alignment horizontal="center" vertical="center" wrapText="1"/>
    </xf>
    <xf numFmtId="4" fontId="38" fillId="0" borderId="73" xfId="59012" applyNumberFormat="1" applyFont="1" applyFill="1" applyBorder="1" applyAlignment="1">
      <alignment horizontal="center" vertical="center" wrapText="1"/>
    </xf>
    <xf numFmtId="0" fontId="41" fillId="0" borderId="31" xfId="59012" applyFont="1" applyFill="1" applyBorder="1" applyAlignment="1">
      <alignment horizontal="center" vertical="center"/>
    </xf>
    <xf numFmtId="0" fontId="41" fillId="0" borderId="12" xfId="59012" applyFont="1" applyFill="1" applyBorder="1" applyAlignment="1">
      <alignment horizontal="center" vertical="center"/>
    </xf>
    <xf numFmtId="0" fontId="41" fillId="0" borderId="14" xfId="59012" applyFont="1" applyFill="1" applyBorder="1" applyAlignment="1">
      <alignment horizontal="center" vertical="center"/>
    </xf>
    <xf numFmtId="49" fontId="33" fillId="0" borderId="31" xfId="58940" applyNumberFormat="1" applyFont="1" applyFill="1" applyBorder="1" applyAlignment="1">
      <alignment horizontal="center" vertical="center"/>
    </xf>
    <xf numFmtId="49" fontId="33" fillId="0" borderId="12" xfId="58940" applyNumberFormat="1" applyFont="1" applyFill="1" applyBorder="1" applyAlignment="1">
      <alignment horizontal="center" vertical="center"/>
    </xf>
    <xf numFmtId="49" fontId="33" fillId="0" borderId="14" xfId="58940" applyNumberFormat="1" applyFont="1" applyFill="1" applyBorder="1" applyAlignment="1">
      <alignment horizontal="center" vertical="center"/>
    </xf>
    <xf numFmtId="0" fontId="32" fillId="0" borderId="10" xfId="61356" applyFont="1" applyFill="1" applyBorder="1" applyAlignment="1">
      <alignment horizontal="center" vertical="center" wrapText="1"/>
    </xf>
    <xf numFmtId="0" fontId="32" fillId="0" borderId="0" xfId="61356" applyFont="1" applyFill="1" applyBorder="1" applyAlignment="1">
      <alignment horizontal="center" vertical="center" wrapText="1"/>
    </xf>
    <xf numFmtId="0" fontId="34" fillId="0" borderId="11" xfId="61356" applyFont="1" applyFill="1" applyBorder="1" applyAlignment="1">
      <alignment horizontal="center" vertical="center" wrapText="1"/>
    </xf>
    <xf numFmtId="0" fontId="35" fillId="0" borderId="31" xfId="61356" applyFont="1" applyFill="1" applyBorder="1" applyAlignment="1">
      <alignment horizontal="center" vertical="center" wrapText="1"/>
    </xf>
    <xf numFmtId="0" fontId="35" fillId="0" borderId="12" xfId="61356" applyFont="1" applyFill="1" applyBorder="1" applyAlignment="1">
      <alignment horizontal="center" vertical="center" wrapText="1"/>
    </xf>
    <xf numFmtId="0" fontId="35" fillId="0" borderId="14" xfId="61356" applyFont="1" applyFill="1" applyBorder="1" applyAlignment="1">
      <alignment horizontal="center" vertical="center" wrapText="1"/>
    </xf>
    <xf numFmtId="0" fontId="34" fillId="0" borderId="11" xfId="61356" applyFont="1" applyFill="1" applyBorder="1" applyAlignment="1">
      <alignment horizontal="center" vertical="top" wrapText="1"/>
    </xf>
    <xf numFmtId="0" fontId="34" fillId="0" borderId="12" xfId="61356" applyFont="1" applyFill="1" applyBorder="1" applyAlignment="1">
      <alignment horizontal="center" vertical="center" wrapText="1"/>
    </xf>
    <xf numFmtId="0" fontId="34" fillId="0" borderId="14" xfId="61356" applyFont="1" applyFill="1" applyBorder="1" applyAlignment="1">
      <alignment horizontal="center" vertical="center" wrapText="1"/>
    </xf>
    <xf numFmtId="0" fontId="33" fillId="0" borderId="11" xfId="61356" applyFont="1" applyFill="1" applyBorder="1" applyAlignment="1">
      <alignment horizontal="center" vertical="center" wrapText="1"/>
    </xf>
    <xf numFmtId="0" fontId="33" fillId="0" borderId="72" xfId="61356" applyFont="1" applyFill="1" applyBorder="1" applyAlignment="1">
      <alignment horizontal="center" vertical="center" wrapText="1"/>
    </xf>
    <xf numFmtId="0" fontId="33" fillId="0" borderId="73" xfId="61356" applyFont="1" applyFill="1" applyBorder="1" applyAlignment="1">
      <alignment horizontal="center" vertical="center" wrapText="1"/>
    </xf>
    <xf numFmtId="0" fontId="33" fillId="0" borderId="15" xfId="61356" applyFont="1" applyFill="1" applyBorder="1" applyAlignment="1">
      <alignment horizontal="center" vertical="center" wrapText="1"/>
    </xf>
    <xf numFmtId="0" fontId="33" fillId="0" borderId="31" xfId="61356" applyFont="1" applyFill="1" applyBorder="1" applyAlignment="1">
      <alignment horizontal="center" vertical="center" wrapText="1"/>
    </xf>
    <xf numFmtId="0" fontId="33" fillId="0" borderId="14" xfId="61356" applyFont="1" applyFill="1" applyBorder="1" applyAlignment="1">
      <alignment horizontal="center" vertical="center" wrapText="1"/>
    </xf>
    <xf numFmtId="0" fontId="37" fillId="0" borderId="31" xfId="61356" applyFont="1" applyFill="1" applyBorder="1" applyAlignment="1">
      <alignment horizontal="center" vertical="center" wrapText="1"/>
    </xf>
    <xf numFmtId="0" fontId="37" fillId="0" borderId="14" xfId="61356" applyFont="1" applyFill="1" applyBorder="1" applyAlignment="1">
      <alignment horizontal="center" vertical="center" wrapText="1"/>
    </xf>
    <xf numFmtId="0" fontId="34" fillId="0" borderId="31" xfId="61356" applyFont="1" applyFill="1" applyBorder="1" applyAlignment="1">
      <alignment horizontal="center" vertical="center" wrapText="1"/>
    </xf>
    <xf numFmtId="0" fontId="36" fillId="0" borderId="31" xfId="61356" applyFont="1" applyFill="1" applyBorder="1" applyAlignment="1">
      <alignment horizontal="center" vertical="center" wrapText="1"/>
    </xf>
    <xf numFmtId="0" fontId="36" fillId="0" borderId="14" xfId="61356" applyFont="1" applyFill="1" applyBorder="1" applyAlignment="1">
      <alignment horizontal="center" vertical="center" wrapText="1"/>
    </xf>
    <xf numFmtId="49" fontId="33" fillId="0" borderId="31" xfId="58921" applyNumberFormat="1" applyFont="1" applyFill="1" applyBorder="1" applyAlignment="1">
      <alignment horizontal="center" vertical="center"/>
    </xf>
    <xf numFmtId="49" fontId="33" fillId="0" borderId="12" xfId="58921" applyNumberFormat="1" applyFont="1" applyFill="1" applyBorder="1" applyAlignment="1">
      <alignment horizontal="center" vertical="center"/>
    </xf>
    <xf numFmtId="49" fontId="33" fillId="0" borderId="14" xfId="58921" applyNumberFormat="1" applyFont="1" applyFill="1" applyBorder="1" applyAlignment="1">
      <alignment horizontal="center" vertical="center"/>
    </xf>
    <xf numFmtId="0" fontId="32" fillId="0" borderId="10" xfId="61357" applyFont="1" applyFill="1" applyBorder="1" applyAlignment="1">
      <alignment horizontal="center" vertical="center" wrapText="1"/>
    </xf>
    <xf numFmtId="0" fontId="34" fillId="0" borderId="31" xfId="61358" applyFont="1" applyFill="1" applyBorder="1" applyAlignment="1">
      <alignment horizontal="center" vertical="center" wrapText="1"/>
    </xf>
    <xf numFmtId="0" fontId="34" fillId="0" borderId="12" xfId="61358" applyFont="1" applyFill="1" applyBorder="1" applyAlignment="1">
      <alignment horizontal="center" vertical="center" wrapText="1"/>
    </xf>
    <xf numFmtId="0" fontId="34" fillId="0" borderId="14" xfId="61358" applyFont="1" applyFill="1" applyBorder="1" applyAlignment="1">
      <alignment horizontal="center" vertical="center" wrapText="1"/>
    </xf>
    <xf numFmtId="0" fontId="35" fillId="0" borderId="31" xfId="61358" applyFont="1" applyFill="1" applyBorder="1" applyAlignment="1">
      <alignment horizontal="center" vertical="center" wrapText="1"/>
    </xf>
    <xf numFmtId="0" fontId="35" fillId="0" borderId="12" xfId="61358" applyFont="1" applyFill="1" applyBorder="1" applyAlignment="1">
      <alignment horizontal="center" vertical="center" wrapText="1"/>
    </xf>
    <xf numFmtId="0" fontId="35" fillId="0" borderId="14" xfId="61358" applyFont="1" applyFill="1" applyBorder="1" applyAlignment="1">
      <alignment horizontal="center" vertical="center" wrapText="1"/>
    </xf>
    <xf numFmtId="0" fontId="34" fillId="0" borderId="11" xfId="61358" applyFont="1" applyFill="1" applyBorder="1" applyAlignment="1">
      <alignment horizontal="center" vertical="center" wrapText="1"/>
    </xf>
    <xf numFmtId="0" fontId="34" fillId="0" borderId="15" xfId="61358" applyFont="1" applyFill="1" applyBorder="1" applyAlignment="1">
      <alignment horizontal="center" vertical="center" wrapText="1"/>
    </xf>
    <xf numFmtId="0" fontId="34" fillId="0" borderId="72" xfId="61358" applyFont="1" applyFill="1" applyBorder="1" applyAlignment="1">
      <alignment horizontal="center" vertical="center" wrapText="1"/>
    </xf>
    <xf numFmtId="0" fontId="34" fillId="0" borderId="73" xfId="61358" applyFont="1" applyFill="1" applyBorder="1" applyAlignment="1">
      <alignment horizontal="center" vertical="center" wrapText="1"/>
    </xf>
    <xf numFmtId="0" fontId="33" fillId="0" borderId="12" xfId="61358" applyFont="1" applyFill="1" applyBorder="1" applyAlignment="1">
      <alignment horizontal="center" vertical="center" wrapText="1"/>
    </xf>
    <xf numFmtId="0" fontId="33" fillId="0" borderId="14" xfId="61358" applyFont="1" applyFill="1" applyBorder="1" applyAlignment="1">
      <alignment horizontal="center" vertical="center" wrapText="1"/>
    </xf>
    <xf numFmtId="0" fontId="33" fillId="0" borderId="13" xfId="61358" applyFont="1" applyFill="1" applyBorder="1" applyAlignment="1">
      <alignment horizontal="center" vertical="center" wrapText="1"/>
    </xf>
    <xf numFmtId="0" fontId="33" fillId="0" borderId="34" xfId="61358" applyFont="1" applyFill="1" applyBorder="1" applyAlignment="1">
      <alignment horizontal="center" vertical="center" wrapText="1"/>
    </xf>
    <xf numFmtId="0" fontId="33" fillId="0" borderId="31" xfId="61358" applyFont="1" applyFill="1" applyBorder="1" applyAlignment="1">
      <alignment horizontal="center" vertical="center" wrapText="1"/>
    </xf>
    <xf numFmtId="0" fontId="32" fillId="0" borderId="10" xfId="61358" applyFont="1" applyBorder="1" applyAlignment="1">
      <alignment horizontal="center" vertical="center" wrapText="1"/>
    </xf>
    <xf numFmtId="0" fontId="34" fillId="0" borderId="11" xfId="61358" applyFont="1" applyBorder="1" applyAlignment="1">
      <alignment horizontal="center" vertical="center" wrapText="1"/>
    </xf>
    <xf numFmtId="0" fontId="35" fillId="0" borderId="31" xfId="61358" applyFont="1" applyBorder="1" applyAlignment="1">
      <alignment horizontal="center" vertical="center" wrapText="1"/>
    </xf>
    <xf numFmtId="0" fontId="35" fillId="0" borderId="12" xfId="61358" applyFont="1" applyBorder="1" applyAlignment="1">
      <alignment horizontal="center" vertical="center" wrapText="1"/>
    </xf>
    <xf numFmtId="0" fontId="34" fillId="0" borderId="15" xfId="61358" applyFont="1" applyBorder="1" applyAlignment="1">
      <alignment horizontal="center" vertical="center" wrapText="1"/>
    </xf>
    <xf numFmtId="0" fontId="34" fillId="0" borderId="72" xfId="61358" applyFont="1" applyBorder="1" applyAlignment="1">
      <alignment horizontal="center" vertical="center" wrapText="1"/>
    </xf>
    <xf numFmtId="0" fontId="34" fillId="0" borderId="73" xfId="61358" applyFont="1" applyBorder="1" applyAlignment="1">
      <alignment horizontal="center" vertical="center" wrapText="1"/>
    </xf>
    <xf numFmtId="0" fontId="34" fillId="0" borderId="12" xfId="61358" applyFont="1" applyBorder="1" applyAlignment="1">
      <alignment horizontal="center" vertical="center" wrapText="1"/>
    </xf>
    <xf numFmtId="0" fontId="33" fillId="0" borderId="31" xfId="61358" applyFont="1" applyBorder="1" applyAlignment="1">
      <alignment horizontal="center" vertical="center" wrapText="1"/>
    </xf>
    <xf numFmtId="0" fontId="33" fillId="0" borderId="12" xfId="61358" applyFont="1" applyBorder="1" applyAlignment="1">
      <alignment horizontal="center" vertical="center" wrapText="1"/>
    </xf>
    <xf numFmtId="0" fontId="33" fillId="0" borderId="11" xfId="61358" applyFont="1" applyBorder="1" applyAlignment="1">
      <alignment horizontal="center" vertical="center" wrapText="1"/>
    </xf>
    <xf numFmtId="0" fontId="38" fillId="0" borderId="11" xfId="59012" applyFont="1" applyBorder="1" applyAlignment="1">
      <alignment horizontal="center" vertical="center"/>
    </xf>
    <xf numFmtId="4" fontId="38" fillId="0" borderId="15" xfId="59012" applyNumberFormat="1" applyFont="1" applyBorder="1" applyAlignment="1">
      <alignment horizontal="center" vertical="center" wrapText="1"/>
    </xf>
    <xf numFmtId="4" fontId="38" fillId="0" borderId="72" xfId="59012" applyNumberFormat="1" applyFont="1" applyBorder="1" applyAlignment="1">
      <alignment horizontal="center" vertical="center" wrapText="1"/>
    </xf>
    <xf numFmtId="4" fontId="38" fillId="0" borderId="73" xfId="59012" applyNumberFormat="1" applyFont="1" applyBorder="1" applyAlignment="1">
      <alignment horizontal="center" vertical="center" wrapText="1"/>
    </xf>
    <xf numFmtId="0" fontId="41" fillId="0" borderId="31" xfId="59012" applyFont="1" applyBorder="1" applyAlignment="1">
      <alignment horizontal="center" vertical="center"/>
    </xf>
    <xf numFmtId="0" fontId="41" fillId="0" borderId="12" xfId="59012" applyFont="1" applyBorder="1" applyAlignment="1">
      <alignment horizontal="center" vertical="center"/>
    </xf>
    <xf numFmtId="0" fontId="41" fillId="0" borderId="14" xfId="59012" applyFont="1" applyBorder="1" applyAlignment="1">
      <alignment horizontal="center" vertical="center"/>
    </xf>
    <xf numFmtId="49" fontId="33" fillId="0" borderId="31" xfId="58921" applyNumberFormat="1" applyFont="1" applyBorder="1" applyAlignment="1">
      <alignment horizontal="center" vertical="center"/>
    </xf>
    <xf numFmtId="49" fontId="33" fillId="0" borderId="12" xfId="58921" applyNumberFormat="1" applyFont="1" applyBorder="1" applyAlignment="1">
      <alignment horizontal="center" vertical="center"/>
    </xf>
    <xf numFmtId="49" fontId="33" fillId="0" borderId="14" xfId="58921" applyNumberFormat="1" applyFont="1" applyBorder="1" applyAlignment="1">
      <alignment horizontal="center" vertical="center"/>
    </xf>
    <xf numFmtId="0" fontId="152" fillId="0" borderId="11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/>
    </xf>
    <xf numFmtId="0" fontId="106" fillId="0" borderId="12" xfId="0" applyFont="1" applyFill="1" applyBorder="1" applyAlignment="1">
      <alignment horizontal="center" vertical="center"/>
    </xf>
    <xf numFmtId="0" fontId="106" fillId="0" borderId="14" xfId="0" applyFont="1" applyFill="1" applyBorder="1" applyAlignment="1">
      <alignment horizontal="center" vertical="center"/>
    </xf>
    <xf numFmtId="49" fontId="104" fillId="0" borderId="31" xfId="3" applyNumberFormat="1" applyFont="1" applyFill="1" applyBorder="1" applyAlignment="1">
      <alignment horizontal="center" vertical="center"/>
    </xf>
    <xf numFmtId="49" fontId="104" fillId="0" borderId="12" xfId="3" applyNumberFormat="1" applyFont="1" applyFill="1" applyBorder="1" applyAlignment="1">
      <alignment horizontal="center" vertical="center"/>
    </xf>
    <xf numFmtId="49" fontId="104" fillId="0" borderId="14" xfId="3" applyNumberFormat="1" applyFont="1" applyFill="1" applyBorder="1" applyAlignment="1">
      <alignment horizontal="center" vertical="center"/>
    </xf>
    <xf numFmtId="0" fontId="98" fillId="0" borderId="0" xfId="61357" applyFont="1" applyFill="1" applyAlignment="1">
      <alignment horizontal="center" vertical="center" wrapText="1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12" xfId="0" applyFont="1" applyFill="1" applyBorder="1" applyAlignment="1">
      <alignment horizontal="center" vertical="center" wrapText="1"/>
    </xf>
    <xf numFmtId="0" fontId="106" fillId="0" borderId="14" xfId="0" applyFont="1" applyFill="1" applyBorder="1" applyAlignment="1">
      <alignment horizontal="center" vertical="center" wrapText="1"/>
    </xf>
    <xf numFmtId="0" fontId="104" fillId="0" borderId="11" xfId="0" applyFont="1" applyFill="1" applyBorder="1" applyAlignment="1">
      <alignment horizontal="center" vertical="center" wrapText="1"/>
    </xf>
    <xf numFmtId="2" fontId="104" fillId="0" borderId="11" xfId="61357" applyNumberFormat="1" applyFont="1" applyFill="1" applyBorder="1" applyAlignment="1">
      <alignment horizontal="center" vertical="center" wrapText="1"/>
    </xf>
    <xf numFmtId="0" fontId="104" fillId="0" borderId="31" xfId="61357" applyFont="1" applyFill="1" applyBorder="1" applyAlignment="1">
      <alignment horizontal="center" vertical="center" wrapText="1"/>
    </xf>
    <xf numFmtId="0" fontId="104" fillId="0" borderId="14" xfId="61357" applyFont="1" applyFill="1" applyBorder="1" applyAlignment="1">
      <alignment horizontal="center" vertical="center" wrapText="1"/>
    </xf>
    <xf numFmtId="0" fontId="104" fillId="0" borderId="11" xfId="61359" applyFont="1" applyFill="1" applyBorder="1" applyAlignment="1">
      <alignment horizontal="center" vertical="center" wrapText="1"/>
    </xf>
    <xf numFmtId="0" fontId="32" fillId="0" borderId="0" xfId="61358" applyFont="1" applyFill="1" applyBorder="1" applyAlignment="1">
      <alignment horizontal="center" vertical="center" wrapText="1"/>
    </xf>
    <xf numFmtId="0" fontId="34" fillId="0" borderId="11" xfId="61360" applyFont="1" applyFill="1" applyBorder="1" applyAlignment="1">
      <alignment horizontal="center" vertical="center" wrapText="1"/>
    </xf>
    <xf numFmtId="0" fontId="33" fillId="0" borderId="11" xfId="61358" applyFont="1" applyBorder="1" applyAlignment="1">
      <alignment horizontal="center" wrapText="1"/>
    </xf>
    <xf numFmtId="0" fontId="33" fillId="0" borderId="11" xfId="61358" applyFont="1" applyBorder="1" applyAlignment="1">
      <alignment horizontal="center"/>
    </xf>
    <xf numFmtId="0" fontId="33" fillId="0" borderId="11" xfId="61360" applyFont="1" applyFill="1" applyBorder="1" applyAlignment="1">
      <alignment horizontal="center" vertical="center" wrapText="1"/>
    </xf>
    <xf numFmtId="0" fontId="102" fillId="0" borderId="0" xfId="57801" applyFont="1" applyAlignment="1">
      <alignment horizontal="center"/>
    </xf>
    <xf numFmtId="0" fontId="41" fillId="74" borderId="31" xfId="58585" applyFont="1" applyFill="1" applyBorder="1" applyAlignment="1">
      <alignment horizontal="center" vertical="center" wrapText="1"/>
    </xf>
    <xf numFmtId="0" fontId="41" fillId="74" borderId="12" xfId="58585" applyFont="1" applyFill="1" applyBorder="1" applyAlignment="1">
      <alignment horizontal="center" vertical="center" wrapText="1"/>
    </xf>
    <xf numFmtId="0" fontId="41" fillId="74" borderId="14" xfId="58585" applyFont="1" applyFill="1" applyBorder="1" applyAlignment="1">
      <alignment horizontal="center" vertical="center" wrapText="1"/>
    </xf>
    <xf numFmtId="0" fontId="33" fillId="0" borderId="31" xfId="57801" applyFont="1" applyBorder="1" applyAlignment="1">
      <alignment horizontal="center" wrapText="1"/>
    </xf>
    <xf numFmtId="0" fontId="33" fillId="0" borderId="12" xfId="57801" applyFont="1" applyBorder="1" applyAlignment="1">
      <alignment horizontal="center" wrapText="1"/>
    </xf>
    <xf numFmtId="0" fontId="33" fillId="0" borderId="14" xfId="57801" applyFont="1" applyBorder="1" applyAlignment="1">
      <alignment horizontal="center" wrapText="1"/>
    </xf>
    <xf numFmtId="0" fontId="33" fillId="0" borderId="11" xfId="57801" applyFont="1" applyBorder="1" applyAlignment="1">
      <alignment horizontal="center" vertical="center" wrapText="1"/>
    </xf>
    <xf numFmtId="0" fontId="33" fillId="0" borderId="31" xfId="57801" applyFont="1" applyBorder="1" applyAlignment="1">
      <alignment horizontal="center" vertical="center" wrapText="1"/>
    </xf>
    <xf numFmtId="0" fontId="33" fillId="0" borderId="14" xfId="57801" applyFont="1" applyBorder="1" applyAlignment="1">
      <alignment horizontal="center" vertical="center" wrapText="1"/>
    </xf>
    <xf numFmtId="0" fontId="41" fillId="74" borderId="31" xfId="58585" applyFont="1" applyFill="1" applyBorder="1" applyAlignment="1">
      <alignment horizontal="center" vertical="center"/>
    </xf>
    <xf numFmtId="0" fontId="41" fillId="74" borderId="12" xfId="58585" applyFont="1" applyFill="1" applyBorder="1" applyAlignment="1">
      <alignment horizontal="center" vertical="center"/>
    </xf>
    <xf numFmtId="0" fontId="41" fillId="74" borderId="14" xfId="58585" applyFont="1" applyFill="1" applyBorder="1" applyAlignment="1">
      <alignment horizontal="center" vertical="center"/>
    </xf>
    <xf numFmtId="49" fontId="33" fillId="74" borderId="31" xfId="3" applyNumberFormat="1" applyFont="1" applyFill="1" applyBorder="1" applyAlignment="1">
      <alignment horizontal="center" vertical="center"/>
    </xf>
    <xf numFmtId="49" fontId="33" fillId="74" borderId="12" xfId="3" applyNumberFormat="1" applyFont="1" applyFill="1" applyBorder="1" applyAlignment="1">
      <alignment horizontal="center" vertical="center"/>
    </xf>
    <xf numFmtId="49" fontId="33" fillId="74" borderId="14" xfId="3" applyNumberFormat="1" applyFont="1" applyFill="1" applyBorder="1" applyAlignment="1">
      <alignment horizontal="center" vertical="center"/>
    </xf>
    <xf numFmtId="0" fontId="38" fillId="74" borderId="15" xfId="58585" applyFont="1" applyFill="1" applyBorder="1" applyAlignment="1">
      <alignment horizontal="center" vertical="center" wrapText="1"/>
    </xf>
    <xf numFmtId="0" fontId="38" fillId="74" borderId="72" xfId="58585" applyFont="1" applyFill="1" applyBorder="1" applyAlignment="1">
      <alignment horizontal="center" vertical="center" wrapText="1"/>
    </xf>
    <xf numFmtId="0" fontId="38" fillId="74" borderId="73" xfId="58585" applyFont="1" applyFill="1" applyBorder="1" applyAlignment="1">
      <alignment horizontal="center" vertical="center" wrapText="1"/>
    </xf>
    <xf numFmtId="0" fontId="111" fillId="0" borderId="11" xfId="0" applyFont="1" applyFill="1" applyBorder="1" applyAlignment="1">
      <alignment horizontal="center" vertical="center"/>
    </xf>
    <xf numFmtId="0" fontId="35" fillId="0" borderId="31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49" fontId="45" fillId="0" borderId="31" xfId="3" applyNumberFormat="1" applyFont="1" applyFill="1" applyBorder="1" applyAlignment="1">
      <alignment horizontal="center" vertical="center"/>
    </xf>
    <xf numFmtId="49" fontId="45" fillId="0" borderId="12" xfId="3" applyNumberFormat="1" applyFont="1" applyFill="1" applyBorder="1" applyAlignment="1">
      <alignment horizontal="center" vertical="center"/>
    </xf>
    <xf numFmtId="49" fontId="45" fillId="0" borderId="14" xfId="3" applyNumberFormat="1" applyFont="1" applyFill="1" applyBorder="1" applyAlignment="1">
      <alignment horizontal="center" vertical="center"/>
    </xf>
    <xf numFmtId="0" fontId="104" fillId="0" borderId="0" xfId="0" applyFont="1" applyFill="1" applyAlignment="1">
      <alignment horizontal="left" vertical="center" wrapText="1"/>
    </xf>
    <xf numFmtId="0" fontId="35" fillId="0" borderId="11" xfId="0" applyFont="1" applyFill="1" applyBorder="1" applyAlignment="1">
      <alignment horizontal="center" vertical="center"/>
    </xf>
    <xf numFmtId="0" fontId="35" fillId="0" borderId="3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45" fillId="0" borderId="31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45" fillId="0" borderId="15" xfId="61357" applyNumberFormat="1" applyFont="1" applyFill="1" applyBorder="1" applyAlignment="1">
      <alignment horizontal="center" vertical="center" wrapText="1"/>
    </xf>
    <xf numFmtId="2" fontId="45" fillId="0" borderId="72" xfId="61357" applyNumberFormat="1" applyFont="1" applyFill="1" applyBorder="1" applyAlignment="1">
      <alignment horizontal="center" vertical="center" wrapText="1"/>
    </xf>
    <xf numFmtId="2" fontId="45" fillId="0" borderId="73" xfId="61357" applyNumberFormat="1" applyFont="1" applyFill="1" applyBorder="1" applyAlignment="1">
      <alignment horizontal="center" vertical="center" wrapText="1"/>
    </xf>
    <xf numFmtId="0" fontId="45" fillId="0" borderId="73" xfId="61357" applyFont="1" applyFill="1" applyBorder="1" applyAlignment="1">
      <alignment horizontal="center" vertical="center" wrapText="1"/>
    </xf>
    <xf numFmtId="0" fontId="45" fillId="0" borderId="11" xfId="61357" applyFont="1" applyFill="1" applyBorder="1" applyAlignment="1">
      <alignment horizontal="center" vertical="center" wrapText="1"/>
    </xf>
    <xf numFmtId="0" fontId="45" fillId="0" borderId="15" xfId="61357" applyFont="1" applyFill="1" applyBorder="1" applyAlignment="1">
      <alignment horizontal="center" vertical="center"/>
    </xf>
    <xf numFmtId="0" fontId="45" fillId="0" borderId="72" xfId="61357" applyFont="1" applyFill="1" applyBorder="1" applyAlignment="1">
      <alignment horizontal="center" vertical="center"/>
    </xf>
    <xf numFmtId="0" fontId="45" fillId="0" borderId="73" xfId="61357" applyFont="1" applyFill="1" applyBorder="1" applyAlignment="1">
      <alignment horizontal="center" vertical="center"/>
    </xf>
    <xf numFmtId="0" fontId="45" fillId="0" borderId="31" xfId="61357" applyFont="1" applyFill="1" applyBorder="1" applyAlignment="1">
      <alignment horizontal="center" vertical="center" wrapText="1"/>
    </xf>
    <xf numFmtId="0" fontId="45" fillId="0" borderId="14" xfId="61357" applyFont="1" applyFill="1" applyBorder="1" applyAlignment="1">
      <alignment horizontal="center" vertical="center" wrapText="1"/>
    </xf>
    <xf numFmtId="0" fontId="45" fillId="0" borderId="11" xfId="61359" applyFont="1" applyFill="1" applyBorder="1" applyAlignment="1">
      <alignment horizontal="center" vertical="center" wrapText="1"/>
    </xf>
    <xf numFmtId="0" fontId="45" fillId="0" borderId="65" xfId="61357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0" fontId="33" fillId="0" borderId="11" xfId="61293" applyFont="1" applyFill="1" applyBorder="1" applyAlignment="1">
      <alignment horizontal="center" vertical="center" wrapText="1"/>
    </xf>
    <xf numFmtId="0" fontId="33" fillId="0" borderId="31" xfId="61293" applyFont="1" applyFill="1" applyBorder="1" applyAlignment="1">
      <alignment horizontal="center" vertical="center" wrapText="1"/>
    </xf>
    <xf numFmtId="0" fontId="33" fillId="0" borderId="14" xfId="61293" applyFont="1" applyFill="1" applyBorder="1" applyAlignment="1">
      <alignment horizontal="center" vertical="center" wrapText="1"/>
    </xf>
    <xf numFmtId="0" fontId="102" fillId="0" borderId="0" xfId="61293" applyFont="1" applyAlignment="1">
      <alignment horizontal="center"/>
    </xf>
    <xf numFmtId="0" fontId="33" fillId="0" borderId="11" xfId="61293" applyFont="1" applyBorder="1" applyAlignment="1">
      <alignment horizontal="center" vertical="center" wrapText="1"/>
    </xf>
    <xf numFmtId="0" fontId="85" fillId="0" borderId="15" xfId="61293" applyFill="1" applyBorder="1" applyAlignment="1">
      <alignment horizontal="center"/>
    </xf>
    <xf numFmtId="0" fontId="85" fillId="0" borderId="17" xfId="61293" applyFill="1" applyBorder="1" applyAlignment="1">
      <alignment horizontal="center"/>
    </xf>
    <xf numFmtId="0" fontId="85" fillId="0" borderId="16" xfId="61293" applyFill="1" applyBorder="1" applyAlignment="1">
      <alignment horizontal="center"/>
    </xf>
    <xf numFmtId="0" fontId="33" fillId="0" borderId="15" xfId="61293" applyFont="1" applyFill="1" applyBorder="1" applyAlignment="1">
      <alignment horizontal="center" vertical="center"/>
    </xf>
    <xf numFmtId="0" fontId="33" fillId="0" borderId="17" xfId="61293" applyFont="1" applyFill="1" applyBorder="1" applyAlignment="1">
      <alignment horizontal="center" vertical="center"/>
    </xf>
    <xf numFmtId="0" fontId="33" fillId="0" borderId="16" xfId="61293" applyFont="1" applyFill="1" applyBorder="1" applyAlignment="1">
      <alignment horizontal="center" vertical="center"/>
    </xf>
    <xf numFmtId="0" fontId="108" fillId="0" borderId="15" xfId="0" applyFont="1" applyFill="1" applyBorder="1" applyAlignment="1">
      <alignment horizontal="center" vertical="center" wrapText="1"/>
    </xf>
    <xf numFmtId="0" fontId="108" fillId="0" borderId="72" xfId="0" applyFont="1" applyFill="1" applyBorder="1" applyAlignment="1">
      <alignment horizontal="center" vertical="center" wrapText="1"/>
    </xf>
    <xf numFmtId="0" fontId="108" fillId="0" borderId="73" xfId="0" applyFont="1" applyFill="1" applyBorder="1" applyAlignment="1">
      <alignment horizontal="center" vertical="center" wrapText="1"/>
    </xf>
    <xf numFmtId="0" fontId="102" fillId="0" borderId="0" xfId="0" applyFont="1" applyFill="1" applyAlignment="1">
      <alignment horizontal="center" vertical="center" wrapText="1"/>
    </xf>
    <xf numFmtId="0" fontId="105" fillId="0" borderId="31" xfId="0" applyFont="1" applyFill="1" applyBorder="1" applyAlignment="1">
      <alignment horizontal="center" vertical="center" wrapText="1"/>
    </xf>
    <xf numFmtId="0" fontId="105" fillId="0" borderId="12" xfId="0" applyFont="1" applyFill="1" applyBorder="1" applyAlignment="1">
      <alignment horizontal="center" vertical="center" wrapText="1"/>
    </xf>
    <xf numFmtId="0" fontId="105" fillId="0" borderId="14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3" fontId="41" fillId="74" borderId="11" xfId="58585" applyNumberFormat="1" applyFont="1" applyFill="1" applyBorder="1" applyAlignment="1">
      <alignment horizontal="center" vertical="center" wrapText="1"/>
    </xf>
    <xf numFmtId="0" fontId="38" fillId="0" borderId="11" xfId="58585" applyFont="1" applyFill="1" applyBorder="1" applyAlignment="1">
      <alignment horizontal="center" vertical="center"/>
    </xf>
    <xf numFmtId="0" fontId="112" fillId="76" borderId="0" xfId="58585" applyNumberFormat="1" applyFont="1" applyFill="1" applyBorder="1" applyAlignment="1">
      <alignment horizontal="center" vertical="center" wrapText="1"/>
    </xf>
    <xf numFmtId="0" fontId="41" fillId="76" borderId="11" xfId="58585" applyFont="1" applyFill="1" applyBorder="1" applyAlignment="1">
      <alignment horizontal="center" vertical="center" wrapText="1"/>
    </xf>
    <xf numFmtId="0" fontId="41" fillId="74" borderId="11" xfId="58585" applyFont="1" applyFill="1" applyBorder="1" applyAlignment="1">
      <alignment horizontal="center" vertical="center" wrapText="1"/>
    </xf>
    <xf numFmtId="1" fontId="38" fillId="76" borderId="11" xfId="58585" applyNumberFormat="1" applyFont="1" applyFill="1" applyBorder="1" applyAlignment="1">
      <alignment horizontal="center" vertical="center" wrapText="1"/>
    </xf>
    <xf numFmtId="0" fontId="37" fillId="0" borderId="11" xfId="61314" applyFont="1" applyBorder="1" applyAlignment="1">
      <alignment horizontal="center" vertical="center" wrapText="1"/>
    </xf>
    <xf numFmtId="49" fontId="37" fillId="0" borderId="11" xfId="61314" applyNumberFormat="1" applyFont="1" applyBorder="1" applyAlignment="1">
      <alignment horizontal="center" vertical="center" wrapText="1"/>
    </xf>
    <xf numFmtId="0" fontId="98" fillId="0" borderId="0" xfId="61314" applyFont="1" applyBorder="1" applyAlignment="1">
      <alignment horizontal="center" wrapText="1"/>
    </xf>
    <xf numFmtId="0" fontId="37" fillId="0" borderId="11" xfId="61314" applyFont="1" applyBorder="1" applyAlignment="1">
      <alignment vertical="center" wrapText="1"/>
    </xf>
    <xf numFmtId="0" fontId="36" fillId="74" borderId="11" xfId="61352" applyFont="1" applyFill="1" applyBorder="1" applyAlignment="1">
      <alignment horizontal="center" vertical="center" wrapText="1"/>
    </xf>
    <xf numFmtId="0" fontId="36" fillId="74" borderId="15" xfId="61352" applyFont="1" applyFill="1" applyBorder="1" applyAlignment="1">
      <alignment horizontal="center" vertical="center" wrapText="1"/>
    </xf>
    <xf numFmtId="0" fontId="36" fillId="74" borderId="11" xfId="61352" applyFont="1" applyFill="1" applyBorder="1" applyAlignment="1">
      <alignment horizontal="center" vertical="center"/>
    </xf>
    <xf numFmtId="0" fontId="36" fillId="74" borderId="73" xfId="61352" applyFont="1" applyFill="1" applyBorder="1" applyAlignment="1">
      <alignment horizontal="center" vertical="center" wrapText="1"/>
    </xf>
    <xf numFmtId="0" fontId="36" fillId="74" borderId="15" xfId="61352" applyFont="1" applyFill="1" applyBorder="1" applyAlignment="1">
      <alignment horizontal="center" vertical="center"/>
    </xf>
    <xf numFmtId="0" fontId="36" fillId="74" borderId="72" xfId="61352" applyFont="1" applyFill="1" applyBorder="1" applyAlignment="1">
      <alignment horizontal="center" vertical="center"/>
    </xf>
    <xf numFmtId="0" fontId="36" fillId="74" borderId="73" xfId="61352" applyFont="1" applyFill="1" applyBorder="1" applyAlignment="1">
      <alignment horizontal="center" vertical="center"/>
    </xf>
    <xf numFmtId="0" fontId="98" fillId="74" borderId="0" xfId="61352" applyFont="1" applyFill="1" applyAlignment="1">
      <alignment horizontal="center" vertical="center" wrapText="1"/>
    </xf>
    <xf numFmtId="0" fontId="1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7" fillId="0" borderId="11" xfId="0" applyFont="1" applyBorder="1" applyAlignment="1">
      <alignment vertical="center" wrapText="1"/>
    </xf>
    <xf numFmtId="0" fontId="45" fillId="0" borderId="11" xfId="0" applyFont="1" applyBorder="1" applyAlignment="1">
      <alignment horizontal="center" vertical="center"/>
    </xf>
    <xf numFmtId="0" fontId="119" fillId="78" borderId="11" xfId="0" applyFont="1" applyFill="1" applyBorder="1" applyAlignment="1">
      <alignment horizontal="center" vertical="center"/>
    </xf>
    <xf numFmtId="0" fontId="118" fillId="0" borderId="0" xfId="0" applyFont="1" applyFill="1" applyAlignment="1">
      <alignment horizontal="center" vertical="center" wrapText="1"/>
    </xf>
    <xf numFmtId="0" fontId="118" fillId="0" borderId="0" xfId="0" applyFont="1" applyFill="1" applyAlignment="1">
      <alignment wrapText="1"/>
    </xf>
    <xf numFmtId="0" fontId="41" fillId="0" borderId="49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1" fillId="0" borderId="48" xfId="0" applyFont="1" applyFill="1" applyBorder="1" applyAlignment="1">
      <alignment horizontal="center" vertical="center" wrapText="1"/>
    </xf>
    <xf numFmtId="0" fontId="41" fillId="0" borderId="11" xfId="0" applyFont="1" applyFill="1" applyBorder="1" applyAlignment="1">
      <alignment horizontal="center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41" fillId="0" borderId="15" xfId="0" applyFont="1" applyFill="1" applyBorder="1" applyAlignment="1">
      <alignment horizontal="center" vertical="center" wrapText="1"/>
    </xf>
    <xf numFmtId="3" fontId="41" fillId="0" borderId="49" xfId="58940" applyNumberFormat="1" applyFont="1" applyFill="1" applyBorder="1" applyAlignment="1">
      <alignment horizontal="center" vertical="center" wrapText="1"/>
    </xf>
    <xf numFmtId="3" fontId="41" fillId="0" borderId="51" xfId="0" applyNumberFormat="1" applyFont="1" applyFill="1" applyBorder="1" applyAlignment="1">
      <alignment horizontal="center" vertical="center" wrapText="1"/>
    </xf>
    <xf numFmtId="3" fontId="41" fillId="0" borderId="67" xfId="0" applyNumberFormat="1" applyFont="1" applyFill="1" applyBorder="1" applyAlignment="1">
      <alignment horizontal="center" vertical="center" wrapText="1"/>
    </xf>
    <xf numFmtId="0" fontId="117" fillId="0" borderId="51" xfId="0" applyFont="1" applyFill="1" applyBorder="1" applyAlignment="1">
      <alignment horizontal="center" vertical="center" wrapText="1"/>
    </xf>
    <xf numFmtId="0" fontId="111" fillId="0" borderId="42" xfId="0" applyFont="1" applyFill="1" applyBorder="1" applyAlignment="1">
      <alignment horizontal="left" vertical="center"/>
    </xf>
    <xf numFmtId="0" fontId="111" fillId="0" borderId="14" xfId="0" applyFont="1" applyFill="1" applyBorder="1" applyAlignment="1">
      <alignment horizontal="left" vertical="center"/>
    </xf>
    <xf numFmtId="0" fontId="111" fillId="0" borderId="13" xfId="0" applyFont="1" applyFill="1" applyBorder="1" applyAlignment="1">
      <alignment horizontal="left" vertical="center"/>
    </xf>
    <xf numFmtId="4" fontId="111" fillId="0" borderId="39" xfId="0" applyNumberFormat="1" applyFont="1" applyFill="1" applyBorder="1" applyAlignment="1">
      <alignment horizontal="left" vertical="center" wrapText="1"/>
    </xf>
    <xf numFmtId="4" fontId="111" fillId="0" borderId="11" xfId="0" applyNumberFormat="1" applyFont="1" applyFill="1" applyBorder="1" applyAlignment="1">
      <alignment horizontal="left" vertical="center" wrapText="1"/>
    </xf>
    <xf numFmtId="4" fontId="111" fillId="0" borderId="15" xfId="0" applyNumberFormat="1" applyFont="1" applyFill="1" applyBorder="1" applyAlignment="1">
      <alignment horizontal="left" vertical="center" wrapText="1"/>
    </xf>
    <xf numFmtId="0" fontId="35" fillId="0" borderId="39" xfId="0" applyFont="1" applyFill="1" applyBorder="1" applyAlignment="1">
      <alignment horizontal="center" vertical="center"/>
    </xf>
    <xf numFmtId="49" fontId="35" fillId="0" borderId="11" xfId="58940" applyNumberFormat="1" applyFont="1" applyFill="1" applyBorder="1" applyAlignment="1">
      <alignment horizontal="center" vertical="center"/>
    </xf>
    <xf numFmtId="0" fontId="38" fillId="0" borderId="49" xfId="0" applyFont="1" applyFill="1" applyBorder="1" applyAlignment="1">
      <alignment horizontal="center" vertical="center"/>
    </xf>
    <xf numFmtId="0" fontId="38" fillId="0" borderId="48" xfId="0" applyFont="1" applyFill="1" applyBorder="1" applyAlignment="1">
      <alignment horizontal="center" vertical="center"/>
    </xf>
    <xf numFmtId="0" fontId="38" fillId="0" borderId="50" xfId="0" applyFont="1" applyFill="1" applyBorder="1" applyAlignment="1">
      <alignment horizontal="center" vertical="center"/>
    </xf>
    <xf numFmtId="4" fontId="38" fillId="0" borderId="39" xfId="0" applyNumberFormat="1" applyFont="1" applyFill="1" applyBorder="1" applyAlignment="1">
      <alignment horizontal="center" vertical="center" wrapText="1"/>
    </xf>
    <xf numFmtId="4" fontId="38" fillId="0" borderId="11" xfId="0" applyNumberFormat="1" applyFont="1" applyFill="1" applyBorder="1" applyAlignment="1">
      <alignment horizontal="center" vertical="center" wrapText="1"/>
    </xf>
    <xf numFmtId="4" fontId="38" fillId="0" borderId="15" xfId="0" applyNumberFormat="1" applyFont="1" applyFill="1" applyBorder="1" applyAlignment="1">
      <alignment horizontal="center" vertical="center" wrapText="1"/>
    </xf>
    <xf numFmtId="4" fontId="38" fillId="0" borderId="40" xfId="0" applyNumberFormat="1" applyFont="1" applyFill="1" applyBorder="1" applyAlignment="1">
      <alignment horizontal="center" vertical="center" wrapText="1"/>
    </xf>
    <xf numFmtId="0" fontId="41" fillId="0" borderId="68" xfId="0" applyFont="1" applyFill="1" applyBorder="1" applyAlignment="1">
      <alignment horizontal="center" vertical="center"/>
    </xf>
    <xf numFmtId="0" fontId="41" fillId="0" borderId="52" xfId="0" applyFont="1" applyFill="1" applyBorder="1" applyAlignment="1">
      <alignment horizontal="center" vertical="center"/>
    </xf>
    <xf numFmtId="0" fontId="41" fillId="0" borderId="42" xfId="0" applyFont="1" applyFill="1" applyBorder="1" applyAlignment="1">
      <alignment horizontal="center" vertical="center"/>
    </xf>
    <xf numFmtId="49" fontId="41" fillId="0" borderId="31" xfId="58940" applyNumberFormat="1" applyFont="1" applyFill="1" applyBorder="1" applyAlignment="1">
      <alignment horizontal="center" vertical="center"/>
    </xf>
    <xf numFmtId="49" fontId="41" fillId="0" borderId="12" xfId="58940" applyNumberFormat="1" applyFont="1" applyFill="1" applyBorder="1" applyAlignment="1">
      <alignment horizontal="center" vertical="center"/>
    </xf>
    <xf numFmtId="49" fontId="41" fillId="0" borderId="14" xfId="58940" applyNumberFormat="1" applyFont="1" applyFill="1" applyBorder="1" applyAlignment="1">
      <alignment horizontal="center" vertical="center"/>
    </xf>
    <xf numFmtId="0" fontId="123" fillId="0" borderId="0" xfId="0" applyFont="1" applyFill="1" applyAlignment="1">
      <alignment horizontal="center" vertical="center" wrapText="1"/>
    </xf>
    <xf numFmtId="3" fontId="40" fillId="0" borderId="67" xfId="0" applyNumberFormat="1" applyFont="1" applyFill="1" applyBorder="1" applyAlignment="1">
      <alignment horizontal="center" vertical="center" wrapText="1"/>
    </xf>
    <xf numFmtId="3" fontId="40" fillId="0" borderId="48" xfId="0" applyNumberFormat="1" applyFont="1" applyFill="1" applyBorder="1" applyAlignment="1">
      <alignment horizontal="center" vertical="center" wrapText="1"/>
    </xf>
    <xf numFmtId="3" fontId="40" fillId="0" borderId="51" xfId="0" applyNumberFormat="1" applyFont="1" applyFill="1" applyBorder="1" applyAlignment="1">
      <alignment horizontal="center" vertical="center" wrapText="1"/>
    </xf>
    <xf numFmtId="3" fontId="37" fillId="0" borderId="73" xfId="0" applyNumberFormat="1" applyFont="1" applyFill="1" applyBorder="1" applyAlignment="1">
      <alignment horizontal="center" vertical="center" wrapText="1"/>
    </xf>
    <xf numFmtId="0" fontId="120" fillId="0" borderId="11" xfId="0" applyFont="1" applyFill="1" applyBorder="1" applyAlignment="1">
      <alignment horizontal="center" vertical="center" wrapText="1"/>
    </xf>
    <xf numFmtId="0" fontId="120" fillId="0" borderId="40" xfId="0" applyFont="1" applyFill="1" applyBorder="1" applyAlignment="1">
      <alignment horizontal="center" vertical="center" wrapText="1"/>
    </xf>
    <xf numFmtId="0" fontId="100" fillId="0" borderId="49" xfId="0" applyFont="1" applyFill="1" applyBorder="1" applyAlignment="1">
      <alignment horizontal="center" vertical="center" wrapText="1"/>
    </xf>
    <xf numFmtId="0" fontId="100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11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vertical="center" wrapText="1"/>
    </xf>
    <xf numFmtId="0" fontId="100" fillId="0" borderId="50" xfId="0" applyFont="1" applyFill="1" applyBorder="1" applyAlignment="1">
      <alignment horizontal="center" vertical="center" wrapText="1"/>
    </xf>
    <xf numFmtId="0" fontId="100" fillId="0" borderId="15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3" fontId="121" fillId="0" borderId="49" xfId="58940" applyNumberFormat="1" applyFont="1" applyFill="1" applyBorder="1" applyAlignment="1">
      <alignment horizontal="center" vertical="center" wrapText="1"/>
    </xf>
    <xf numFmtId="3" fontId="120" fillId="0" borderId="51" xfId="0" applyNumberFormat="1" applyFont="1" applyFill="1" applyBorder="1" applyAlignment="1">
      <alignment horizontal="center" vertical="center" wrapText="1"/>
    </xf>
    <xf numFmtId="3" fontId="37" fillId="0" borderId="39" xfId="0" applyNumberFormat="1" applyFont="1" applyFill="1" applyBorder="1" applyAlignment="1">
      <alignment horizontal="center" vertical="center" wrapText="1"/>
    </xf>
    <xf numFmtId="3" fontId="37" fillId="0" borderId="11" xfId="0" applyNumberFormat="1" applyFont="1" applyFill="1" applyBorder="1" applyAlignment="1">
      <alignment horizontal="center" vertical="center" wrapText="1"/>
    </xf>
    <xf numFmtId="3" fontId="40" fillId="0" borderId="11" xfId="0" applyNumberFormat="1" applyFont="1" applyFill="1" applyBorder="1" applyAlignment="1">
      <alignment horizontal="center" vertical="center" wrapText="1"/>
    </xf>
    <xf numFmtId="0" fontId="112" fillId="0" borderId="0" xfId="0" applyFont="1" applyFill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54" xfId="0" applyFont="1" applyFill="1" applyBorder="1" applyAlignment="1">
      <alignment horizontal="center" vertical="center" wrapText="1"/>
    </xf>
    <xf numFmtId="0" fontId="100" fillId="0" borderId="61" xfId="0" applyFont="1" applyFill="1" applyBorder="1" applyAlignment="1">
      <alignment horizontal="center" vertical="center" wrapText="1"/>
    </xf>
    <xf numFmtId="3" fontId="100" fillId="0" borderId="49" xfId="0" applyNumberFormat="1" applyFont="1" applyFill="1" applyBorder="1" applyAlignment="1">
      <alignment horizontal="center" vertical="center" wrapText="1"/>
    </xf>
    <xf numFmtId="3" fontId="100" fillId="0" borderId="50" xfId="0" applyNumberFormat="1" applyFont="1" applyFill="1" applyBorder="1" applyAlignment="1">
      <alignment horizontal="center" vertical="center" wrapText="1"/>
    </xf>
    <xf numFmtId="0" fontId="147" fillId="0" borderId="51" xfId="0" applyFont="1" applyFill="1" applyBorder="1" applyAlignment="1">
      <alignment horizontal="center" vertical="center" wrapText="1"/>
    </xf>
    <xf numFmtId="3" fontId="100" fillId="0" borderId="67" xfId="0" applyNumberFormat="1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left" vertical="center"/>
    </xf>
    <xf numFmtId="0" fontId="38" fillId="0" borderId="14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horizontal="left" vertical="center"/>
    </xf>
    <xf numFmtId="3" fontId="41" fillId="0" borderId="0" xfId="0" applyNumberFormat="1" applyFont="1" applyFill="1" applyBorder="1" applyAlignment="1">
      <alignment horizontal="left" vertical="center" wrapText="1"/>
    </xf>
    <xf numFmtId="0" fontId="129" fillId="0" borderId="0" xfId="0" applyFont="1" applyFill="1" applyAlignment="1">
      <alignment horizontal="left" vertical="center" wrapText="1"/>
    </xf>
    <xf numFmtId="0" fontId="129" fillId="0" borderId="0" xfId="0" applyFont="1" applyFill="1" applyAlignment="1">
      <alignment vertical="center" wrapText="1"/>
    </xf>
    <xf numFmtId="4" fontId="38" fillId="0" borderId="39" xfId="0" applyNumberFormat="1" applyFont="1" applyFill="1" applyBorder="1" applyAlignment="1">
      <alignment horizontal="left" vertical="center" wrapText="1"/>
    </xf>
    <xf numFmtId="4" fontId="38" fillId="0" borderId="11" xfId="0" applyNumberFormat="1" applyFont="1" applyFill="1" applyBorder="1" applyAlignment="1">
      <alignment horizontal="left" vertical="center" wrapText="1"/>
    </xf>
    <xf numFmtId="4" fontId="38" fillId="0" borderId="15" xfId="0" applyNumberFormat="1" applyFont="1" applyFill="1" applyBorder="1" applyAlignment="1">
      <alignment horizontal="left" vertical="center" wrapText="1"/>
    </xf>
    <xf numFmtId="0" fontId="98" fillId="0" borderId="0" xfId="0" applyFont="1" applyFill="1" applyAlignment="1">
      <alignment horizontal="center" vertical="center" wrapText="1"/>
    </xf>
    <xf numFmtId="0" fontId="100" fillId="0" borderId="51" xfId="0" applyFont="1" applyFill="1" applyBorder="1" applyAlignment="1">
      <alignment horizontal="center" vertical="center" wrapText="1"/>
    </xf>
    <xf numFmtId="0" fontId="100" fillId="0" borderId="40" xfId="0" applyFont="1" applyFill="1" applyBorder="1" applyAlignment="1">
      <alignment horizontal="center" vertical="center" wrapText="1"/>
    </xf>
    <xf numFmtId="3" fontId="37" fillId="0" borderId="67" xfId="0" applyNumberFormat="1" applyFont="1" applyFill="1" applyBorder="1" applyAlignment="1">
      <alignment horizontal="center" vertical="center" wrapText="1"/>
    </xf>
    <xf numFmtId="3" fontId="37" fillId="0" borderId="48" xfId="0" applyNumberFormat="1" applyFont="1" applyFill="1" applyBorder="1" applyAlignment="1">
      <alignment horizontal="center" vertical="center" wrapText="1"/>
    </xf>
    <xf numFmtId="3" fontId="100" fillId="0" borderId="74" xfId="0" applyNumberFormat="1" applyFont="1" applyFill="1" applyBorder="1" applyAlignment="1">
      <alignment horizontal="center" vertical="center" wrapText="1"/>
    </xf>
    <xf numFmtId="0" fontId="100" fillId="0" borderId="75" xfId="0" applyFont="1" applyFill="1" applyBorder="1" applyAlignment="1">
      <alignment horizontal="center" vertical="center" wrapText="1"/>
    </xf>
    <xf numFmtId="3" fontId="37" fillId="0" borderId="76" xfId="0" applyNumberFormat="1" applyFont="1" applyFill="1" applyBorder="1" applyAlignment="1">
      <alignment horizontal="center" vertical="center" wrapText="1"/>
    </xf>
    <xf numFmtId="0" fontId="37" fillId="0" borderId="75" xfId="0" applyFont="1" applyFill="1" applyBorder="1" applyAlignment="1">
      <alignment horizontal="center" vertical="center" wrapText="1"/>
    </xf>
    <xf numFmtId="3" fontId="43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38" fillId="0" borderId="41" xfId="0" applyFont="1" applyFill="1" applyBorder="1" applyAlignment="1">
      <alignment horizontal="left" vertical="center"/>
    </xf>
    <xf numFmtId="4" fontId="38" fillId="0" borderId="40" xfId="0" applyNumberFormat="1" applyFont="1" applyFill="1" applyBorder="1" applyAlignment="1">
      <alignment horizontal="left" vertical="center" wrapText="1"/>
    </xf>
    <xf numFmtId="0" fontId="41" fillId="0" borderId="39" xfId="0" applyFont="1" applyFill="1" applyBorder="1" applyAlignment="1">
      <alignment horizontal="center" vertical="center"/>
    </xf>
    <xf numFmtId="49" fontId="41" fillId="0" borderId="11" xfId="58940" applyNumberFormat="1" applyFont="1" applyFill="1" applyBorder="1" applyAlignment="1">
      <alignment horizontal="center" vertical="center"/>
    </xf>
    <xf numFmtId="0" fontId="40" fillId="0" borderId="50" xfId="0" applyFont="1" applyFill="1" applyBorder="1" applyAlignment="1">
      <alignment horizontal="center" vertical="center" wrapText="1"/>
    </xf>
    <xf numFmtId="0" fontId="40" fillId="0" borderId="73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3" fontId="40" fillId="0" borderId="49" xfId="0" applyNumberFormat="1" applyFont="1" applyFill="1" applyBorder="1" applyAlignment="1">
      <alignment horizontal="center" vertical="center" wrapText="1"/>
    </xf>
    <xf numFmtId="0" fontId="40" fillId="0" borderId="51" xfId="0" applyFont="1" applyFill="1" applyBorder="1" applyAlignment="1">
      <alignment horizontal="center" vertical="center" wrapText="1"/>
    </xf>
    <xf numFmtId="0" fontId="40" fillId="0" borderId="39" xfId="0" applyFont="1" applyFill="1" applyBorder="1" applyAlignment="1">
      <alignment horizontal="center" vertical="center" wrapText="1"/>
    </xf>
    <xf numFmtId="0" fontId="40" fillId="0" borderId="40" xfId="0" applyFont="1" applyFill="1" applyBorder="1" applyAlignment="1">
      <alignment horizontal="center" vertical="center" wrapText="1"/>
    </xf>
    <xf numFmtId="3" fontId="100" fillId="0" borderId="39" xfId="58940" applyNumberFormat="1" applyFont="1" applyFill="1" applyBorder="1" applyAlignment="1">
      <alignment horizontal="center" vertical="center" wrapText="1"/>
    </xf>
    <xf numFmtId="3" fontId="100" fillId="0" borderId="11" xfId="58940" applyNumberFormat="1" applyFont="1" applyFill="1" applyBorder="1" applyAlignment="1">
      <alignment horizontal="center" vertical="center" wrapText="1"/>
    </xf>
    <xf numFmtId="0" fontId="126" fillId="0" borderId="11" xfId="0" applyFont="1" applyFill="1" applyBorder="1" applyAlignment="1">
      <alignment horizontal="center" vertical="center" wrapText="1"/>
    </xf>
    <xf numFmtId="0" fontId="126" fillId="0" borderId="40" xfId="0" applyFont="1" applyFill="1" applyBorder="1" applyAlignment="1">
      <alignment horizontal="center" vertical="center" wrapText="1"/>
    </xf>
    <xf numFmtId="0" fontId="125" fillId="0" borderId="48" xfId="0" applyFont="1" applyFill="1" applyBorder="1" applyAlignment="1">
      <alignment horizontal="center" vertical="center" wrapText="1"/>
    </xf>
    <xf numFmtId="0" fontId="125" fillId="0" borderId="51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/>
    </xf>
    <xf numFmtId="0" fontId="38" fillId="0" borderId="14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0" fontId="112" fillId="74" borderId="0" xfId="61317" applyFont="1" applyFill="1" applyAlignment="1">
      <alignment horizontal="center" vertical="center" wrapText="1"/>
    </xf>
    <xf numFmtId="0" fontId="35" fillId="74" borderId="11" xfId="61317" applyFont="1" applyFill="1" applyBorder="1" applyAlignment="1">
      <alignment horizontal="center" vertical="center" wrapText="1"/>
    </xf>
    <xf numFmtId="49" fontId="35" fillId="74" borderId="31" xfId="61317" applyNumberFormat="1" applyFont="1" applyFill="1" applyBorder="1" applyAlignment="1">
      <alignment horizontal="center" vertical="center" wrapText="1"/>
    </xf>
    <xf numFmtId="49" fontId="35" fillId="74" borderId="14" xfId="61317" applyNumberFormat="1" applyFont="1" applyFill="1" applyBorder="1" applyAlignment="1">
      <alignment horizontal="center" vertical="center" wrapText="1"/>
    </xf>
    <xf numFmtId="3" fontId="35" fillId="74" borderId="11" xfId="61317" applyNumberFormat="1" applyFont="1" applyFill="1" applyBorder="1" applyAlignment="1">
      <alignment horizontal="center" vertical="center" wrapText="1"/>
    </xf>
    <xf numFmtId="3" fontId="130" fillId="74" borderId="0" xfId="61317" applyNumberFormat="1" applyFont="1" applyFill="1" applyAlignment="1">
      <alignment horizontal="center" vertical="center" wrapText="1"/>
    </xf>
    <xf numFmtId="0" fontId="131" fillId="74" borderId="0" xfId="61317" applyFont="1" applyFill="1" applyAlignment="1">
      <alignment horizontal="center" vertical="center" wrapText="1"/>
    </xf>
    <xf numFmtId="3" fontId="35" fillId="74" borderId="11" xfId="4" applyNumberFormat="1" applyFont="1" applyFill="1" applyBorder="1" applyAlignment="1">
      <alignment horizontal="center" vertical="center" wrapText="1"/>
    </xf>
    <xf numFmtId="0" fontId="33" fillId="74" borderId="12" xfId="58923" applyFont="1" applyFill="1" applyBorder="1" applyAlignment="1">
      <alignment horizontal="center" vertical="center" wrapText="1"/>
    </xf>
    <xf numFmtId="0" fontId="33" fillId="74" borderId="14" xfId="58923" applyFont="1" applyFill="1" applyBorder="1" applyAlignment="1">
      <alignment horizontal="center" vertical="center" wrapText="1"/>
    </xf>
    <xf numFmtId="0" fontId="133" fillId="74" borderId="0" xfId="58923" applyFont="1" applyFill="1" applyAlignment="1">
      <alignment horizontal="center" vertical="center"/>
    </xf>
    <xf numFmtId="0" fontId="134" fillId="74" borderId="46" xfId="58923" applyFont="1" applyFill="1" applyBorder="1" applyAlignment="1">
      <alignment horizontal="right" vertical="center"/>
    </xf>
    <xf numFmtId="0" fontId="136" fillId="74" borderId="49" xfId="58923" applyFont="1" applyFill="1" applyBorder="1" applyAlignment="1">
      <alignment horizontal="center" vertical="center" wrapText="1"/>
    </xf>
    <xf numFmtId="0" fontId="136" fillId="74" borderId="39" xfId="58923" applyFont="1" applyFill="1" applyBorder="1" applyAlignment="1">
      <alignment horizontal="center" vertical="center" wrapText="1"/>
    </xf>
    <xf numFmtId="0" fontId="136" fillId="74" borderId="48" xfId="58923" applyFont="1" applyFill="1" applyBorder="1" applyAlignment="1">
      <alignment horizontal="center" vertical="center" wrapText="1"/>
    </xf>
    <xf numFmtId="0" fontId="136" fillId="74" borderId="11" xfId="58923" applyFont="1" applyFill="1" applyBorder="1" applyAlignment="1">
      <alignment horizontal="center" vertical="center" wrapText="1"/>
    </xf>
    <xf numFmtId="0" fontId="137" fillId="74" borderId="35" xfId="58923" applyFont="1" applyFill="1" applyBorder="1" applyAlignment="1">
      <alignment horizontal="center" vertical="center" wrapText="1"/>
    </xf>
    <xf numFmtId="0" fontId="137" fillId="74" borderId="36" xfId="58923" applyFont="1" applyFill="1" applyBorder="1" applyAlignment="1">
      <alignment horizontal="center" vertical="center" wrapText="1"/>
    </xf>
    <xf numFmtId="0" fontId="137" fillId="74" borderId="37" xfId="58923" applyFont="1" applyFill="1" applyBorder="1" applyAlignment="1">
      <alignment horizontal="center" vertical="center" wrapText="1"/>
    </xf>
    <xf numFmtId="0" fontId="137" fillId="74" borderId="49" xfId="58923" applyFont="1" applyFill="1" applyBorder="1" applyAlignment="1">
      <alignment horizontal="center" vertical="center" wrapText="1"/>
    </xf>
    <xf numFmtId="0" fontId="137" fillId="74" borderId="48" xfId="58923" applyFont="1" applyFill="1" applyBorder="1" applyAlignment="1">
      <alignment horizontal="center" vertical="center" wrapText="1"/>
    </xf>
    <xf numFmtId="0" fontId="137" fillId="74" borderId="50" xfId="58923" applyFont="1" applyFill="1" applyBorder="1" applyAlignment="1">
      <alignment horizontal="center" vertical="center" wrapText="1"/>
    </xf>
    <xf numFmtId="0" fontId="137" fillId="74" borderId="51" xfId="58923" applyFont="1" applyFill="1" applyBorder="1" applyAlignment="1">
      <alignment horizontal="center" vertical="center" wrapText="1"/>
    </xf>
    <xf numFmtId="0" fontId="45" fillId="74" borderId="32" xfId="58923" applyFont="1" applyFill="1" applyBorder="1" applyAlignment="1">
      <alignment horizontal="center" vertical="center" wrapText="1"/>
    </xf>
    <xf numFmtId="0" fontId="45" fillId="74" borderId="34" xfId="58923" applyFont="1" applyFill="1" applyBorder="1" applyAlignment="1">
      <alignment horizontal="center" vertical="center" wrapText="1"/>
    </xf>
    <xf numFmtId="0" fontId="136" fillId="74" borderId="31" xfId="58923" applyFont="1" applyFill="1" applyBorder="1" applyAlignment="1">
      <alignment horizontal="center" vertical="center" wrapText="1"/>
    </xf>
    <xf numFmtId="0" fontId="136" fillId="74" borderId="14" xfId="58923" applyFont="1" applyFill="1" applyBorder="1" applyAlignment="1">
      <alignment horizontal="center" vertical="center" wrapText="1"/>
    </xf>
    <xf numFmtId="0" fontId="138" fillId="74" borderId="31" xfId="58923" applyFont="1" applyFill="1" applyBorder="1" applyAlignment="1">
      <alignment horizontal="center" vertical="center" wrapText="1"/>
    </xf>
    <xf numFmtId="0" fontId="138" fillId="74" borderId="14" xfId="58923" applyFont="1" applyFill="1" applyBorder="1" applyAlignment="1">
      <alignment horizontal="center" vertical="center" wrapText="1"/>
    </xf>
    <xf numFmtId="0" fontId="137" fillId="74" borderId="38" xfId="58923" applyFont="1" applyFill="1" applyBorder="1" applyAlignment="1">
      <alignment horizontal="center" vertical="center"/>
    </xf>
    <xf numFmtId="0" fontId="137" fillId="74" borderId="41" xfId="58923" applyFont="1" applyFill="1" applyBorder="1" applyAlignment="1">
      <alignment horizontal="center" vertical="center"/>
    </xf>
    <xf numFmtId="0" fontId="33" fillId="74" borderId="52" xfId="58923" applyFont="1" applyFill="1" applyBorder="1" applyAlignment="1">
      <alignment horizontal="center" vertical="center" wrapText="1"/>
    </xf>
    <xf numFmtId="0" fontId="33" fillId="74" borderId="42" xfId="58923" applyFont="1" applyFill="1" applyBorder="1" applyAlignment="1">
      <alignment horizontal="center" vertical="center" wrapText="1"/>
    </xf>
    <xf numFmtId="0" fontId="140" fillId="74" borderId="12" xfId="58923" applyFont="1" applyFill="1" applyBorder="1" applyAlignment="1">
      <alignment horizontal="center" vertical="center" wrapText="1"/>
    </xf>
    <xf numFmtId="0" fontId="140" fillId="74" borderId="14" xfId="58923" applyFont="1" applyFill="1" applyBorder="1" applyAlignment="1">
      <alignment horizontal="center" vertical="center" wrapText="1"/>
    </xf>
    <xf numFmtId="0" fontId="141" fillId="74" borderId="12" xfId="58923" applyFont="1" applyFill="1" applyBorder="1" applyAlignment="1">
      <alignment horizontal="center" vertical="center" wrapText="1"/>
    </xf>
    <xf numFmtId="0" fontId="141" fillId="74" borderId="14" xfId="58923" applyFont="1" applyFill="1" applyBorder="1" applyAlignment="1">
      <alignment horizontal="center" vertical="center" wrapText="1"/>
    </xf>
    <xf numFmtId="4" fontId="140" fillId="74" borderId="12" xfId="58923" applyNumberFormat="1" applyFont="1" applyFill="1" applyBorder="1" applyAlignment="1">
      <alignment horizontal="center" vertical="center" wrapText="1"/>
    </xf>
    <xf numFmtId="4" fontId="140" fillId="74" borderId="14" xfId="58923" applyNumberFormat="1" applyFont="1" applyFill="1" applyBorder="1" applyAlignment="1">
      <alignment horizontal="center" vertical="center" wrapText="1"/>
    </xf>
    <xf numFmtId="0" fontId="137" fillId="74" borderId="53" xfId="58923" applyFont="1" applyFill="1" applyBorder="1" applyAlignment="1">
      <alignment horizontal="center" vertical="center" wrapText="1"/>
    </xf>
    <xf numFmtId="0" fontId="137" fillId="74" borderId="41" xfId="58923" applyFont="1" applyFill="1" applyBorder="1" applyAlignment="1">
      <alignment horizontal="center" vertical="center" wrapText="1"/>
    </xf>
    <xf numFmtId="0" fontId="137" fillId="74" borderId="38" xfId="58923" applyFont="1" applyFill="1" applyBorder="1" applyAlignment="1">
      <alignment horizontal="center" vertical="center" wrapText="1"/>
    </xf>
    <xf numFmtId="0" fontId="140" fillId="74" borderId="52" xfId="58923" applyFont="1" applyFill="1" applyBorder="1" applyAlignment="1">
      <alignment horizontal="center" vertical="center" wrapText="1"/>
    </xf>
    <xf numFmtId="0" fontId="140" fillId="74" borderId="42" xfId="58923" applyFont="1" applyFill="1" applyBorder="1" applyAlignment="1">
      <alignment horizontal="center" vertical="center" wrapText="1"/>
    </xf>
    <xf numFmtId="0" fontId="108" fillId="74" borderId="0" xfId="61317" applyFont="1" applyFill="1" applyBorder="1" applyAlignment="1">
      <alignment horizontal="center" vertical="center" wrapText="1"/>
    </xf>
    <xf numFmtId="0" fontId="45" fillId="74" borderId="58" xfId="61317" applyFont="1" applyFill="1" applyBorder="1" applyAlignment="1">
      <alignment horizontal="center" vertical="center" wrapText="1"/>
    </xf>
    <xf numFmtId="0" fontId="45" fillId="74" borderId="42" xfId="61317" applyFont="1" applyFill="1" applyBorder="1" applyAlignment="1">
      <alignment horizontal="center" vertical="center" wrapText="1"/>
    </xf>
    <xf numFmtId="0" fontId="45" fillId="74" borderId="47" xfId="61317" applyFont="1" applyFill="1" applyBorder="1" applyAlignment="1">
      <alignment horizontal="center" vertical="center" wrapText="1"/>
    </xf>
    <xf numFmtId="0" fontId="45" fillId="74" borderId="14" xfId="61317" applyFont="1" applyFill="1" applyBorder="1" applyAlignment="1">
      <alignment horizontal="center" vertical="center" wrapText="1"/>
    </xf>
    <xf numFmtId="0" fontId="119" fillId="74" borderId="47" xfId="61317" applyFont="1" applyFill="1" applyBorder="1" applyAlignment="1">
      <alignment horizontal="center" vertical="center" wrapText="1"/>
    </xf>
    <xf numFmtId="0" fontId="119" fillId="74" borderId="59" xfId="61317" applyFont="1" applyFill="1" applyBorder="1" applyAlignment="1">
      <alignment horizontal="center" vertical="center" wrapText="1"/>
    </xf>
    <xf numFmtId="0" fontId="45" fillId="74" borderId="41" xfId="61317" applyFont="1" applyFill="1" applyBorder="1" applyAlignment="1">
      <alignment horizontal="center" vertical="center" wrapText="1"/>
    </xf>
    <xf numFmtId="0" fontId="100" fillId="74" borderId="15" xfId="61320" applyFont="1" applyFill="1" applyBorder="1" applyAlignment="1">
      <alignment horizontal="center" vertical="center" wrapText="1"/>
    </xf>
    <xf numFmtId="0" fontId="147" fillId="74" borderId="15" xfId="61320" applyFont="1" applyFill="1" applyBorder="1" applyAlignment="1">
      <alignment horizontal="center" vertical="center" wrapText="1"/>
    </xf>
    <xf numFmtId="0" fontId="130" fillId="74" borderId="0" xfId="61320" applyFont="1" applyFill="1" applyAlignment="1">
      <alignment horizontal="center" vertical="center" wrapText="1"/>
    </xf>
    <xf numFmtId="0" fontId="100" fillId="74" borderId="49" xfId="61320" applyFont="1" applyFill="1" applyBorder="1" applyAlignment="1">
      <alignment horizontal="center" vertical="center" wrapText="1"/>
    </xf>
    <xf numFmtId="0" fontId="100" fillId="74" borderId="39" xfId="61320" applyFont="1" applyFill="1" applyBorder="1" applyAlignment="1">
      <alignment horizontal="center" vertical="center" wrapText="1"/>
    </xf>
    <xf numFmtId="0" fontId="100" fillId="74" borderId="48" xfId="61320" applyFont="1" applyFill="1" applyBorder="1" applyAlignment="1">
      <alignment horizontal="center" vertical="center" wrapText="1"/>
    </xf>
    <xf numFmtId="0" fontId="100" fillId="74" borderId="11" xfId="61320" applyFont="1" applyFill="1" applyBorder="1" applyAlignment="1">
      <alignment horizontal="center" vertical="center" wrapText="1"/>
    </xf>
    <xf numFmtId="3" fontId="100" fillId="74" borderId="48" xfId="61320" applyNumberFormat="1" applyFont="1" applyFill="1" applyBorder="1" applyAlignment="1">
      <alignment horizontal="center" vertical="center" wrapText="1"/>
    </xf>
    <xf numFmtId="3" fontId="100" fillId="74" borderId="50" xfId="61320" applyNumberFormat="1" applyFont="1" applyFill="1" applyBorder="1" applyAlignment="1">
      <alignment horizontal="center" vertical="center" wrapText="1"/>
    </xf>
    <xf numFmtId="3" fontId="100" fillId="74" borderId="35" xfId="61320" applyNumberFormat="1" applyFont="1" applyFill="1" applyBorder="1" applyAlignment="1">
      <alignment horizontal="center" vertical="center" wrapText="1"/>
    </xf>
    <xf numFmtId="3" fontId="100" fillId="74" borderId="55" xfId="61320" applyNumberFormat="1" applyFont="1" applyFill="1" applyBorder="1" applyAlignment="1">
      <alignment horizontal="center" vertical="center" wrapText="1"/>
    </xf>
    <xf numFmtId="3" fontId="100" fillId="74" borderId="55" xfId="61320" applyNumberFormat="1" applyFont="1" applyFill="1" applyBorder="1" applyAlignment="1">
      <alignment horizontal="center" vertical="center"/>
    </xf>
    <xf numFmtId="3" fontId="100" fillId="74" borderId="49" xfId="61320" applyNumberFormat="1" applyFont="1" applyFill="1" applyBorder="1" applyAlignment="1">
      <alignment horizontal="center" vertical="center" wrapText="1"/>
    </xf>
    <xf numFmtId="0" fontId="147" fillId="74" borderId="48" xfId="61320" applyFont="1" applyFill="1" applyBorder="1" applyAlignment="1">
      <alignment horizontal="center" vertical="center" wrapText="1"/>
    </xf>
    <xf numFmtId="0" fontId="147" fillId="74" borderId="50" xfId="61320" applyFont="1" applyFill="1" applyBorder="1" applyAlignment="1">
      <alignment horizontal="center" vertical="center" wrapText="1"/>
    </xf>
    <xf numFmtId="3" fontId="100" fillId="74" borderId="62" xfId="61320" applyNumberFormat="1" applyFont="1" applyFill="1" applyBorder="1" applyAlignment="1">
      <alignment horizontal="center" vertical="center" wrapText="1"/>
    </xf>
    <xf numFmtId="3" fontId="100" fillId="74" borderId="63" xfId="61320" applyNumberFormat="1" applyFont="1" applyFill="1" applyBorder="1" applyAlignment="1">
      <alignment horizontal="center" vertical="center" wrapText="1"/>
    </xf>
    <xf numFmtId="3" fontId="100" fillId="74" borderId="11" xfId="61320" applyNumberFormat="1" applyFont="1" applyFill="1" applyBorder="1" applyAlignment="1">
      <alignment horizontal="center" vertical="center" wrapText="1"/>
    </xf>
    <xf numFmtId="0" fontId="147" fillId="74" borderId="11" xfId="61320" applyFont="1" applyFill="1" applyBorder="1" applyAlignment="1">
      <alignment horizontal="center" vertical="center" wrapText="1"/>
    </xf>
    <xf numFmtId="3" fontId="100" fillId="74" borderId="15" xfId="61320" applyNumberFormat="1" applyFont="1" applyFill="1" applyBorder="1" applyAlignment="1">
      <alignment horizontal="center" vertical="center" wrapText="1"/>
    </xf>
    <xf numFmtId="3" fontId="100" fillId="74" borderId="39" xfId="61320" applyNumberFormat="1" applyFont="1" applyFill="1" applyBorder="1" applyAlignment="1">
      <alignment horizontal="center" vertical="center" wrapText="1"/>
    </xf>
    <xf numFmtId="0" fontId="147" fillId="74" borderId="39" xfId="61320" applyFont="1" applyFill="1" applyBorder="1" applyAlignment="1">
      <alignment horizontal="center" vertical="center" wrapText="1"/>
    </xf>
    <xf numFmtId="3" fontId="148" fillId="74" borderId="11" xfId="61347" applyNumberFormat="1" applyFont="1" applyFill="1" applyBorder="1" applyAlignment="1" applyProtection="1">
      <alignment horizontal="center" vertical="center" wrapText="1"/>
      <protection locked="0"/>
    </xf>
    <xf numFmtId="3" fontId="148" fillId="74" borderId="31" xfId="61347" applyNumberFormat="1" applyFont="1" applyFill="1" applyBorder="1" applyAlignment="1">
      <alignment horizontal="center" vertical="center" wrapText="1"/>
    </xf>
    <xf numFmtId="3" fontId="148" fillId="74" borderId="14" xfId="61347" applyNumberFormat="1" applyFont="1" applyFill="1" applyBorder="1" applyAlignment="1">
      <alignment horizontal="center" vertical="center" wrapText="1"/>
    </xf>
    <xf numFmtId="3" fontId="148" fillId="74" borderId="31" xfId="61347" applyNumberFormat="1" applyFont="1" applyFill="1" applyBorder="1" applyAlignment="1" applyProtection="1">
      <alignment horizontal="center" vertical="center" wrapText="1"/>
      <protection locked="0"/>
    </xf>
    <xf numFmtId="3" fontId="148" fillId="74" borderId="14" xfId="61347" applyNumberFormat="1" applyFont="1" applyFill="1" applyBorder="1" applyAlignment="1" applyProtection="1">
      <alignment horizontal="center" vertical="center" wrapText="1"/>
      <protection locked="0"/>
    </xf>
    <xf numFmtId="3" fontId="149" fillId="74" borderId="31" xfId="61347" applyNumberFormat="1" applyFont="1" applyFill="1" applyBorder="1" applyAlignment="1">
      <alignment horizontal="center" vertical="center"/>
    </xf>
    <xf numFmtId="3" fontId="149" fillId="74" borderId="14" xfId="61347" applyNumberFormat="1" applyFont="1" applyFill="1" applyBorder="1" applyAlignment="1">
      <alignment horizontal="center" vertical="center"/>
    </xf>
    <xf numFmtId="0" fontId="118" fillId="74" borderId="0" xfId="61347" applyFont="1" applyFill="1" applyAlignment="1">
      <alignment horizontal="center" vertical="center"/>
    </xf>
    <xf numFmtId="0" fontId="37" fillId="74" borderId="15" xfId="61347" applyFont="1" applyFill="1" applyBorder="1" applyAlignment="1" applyProtection="1">
      <alignment horizontal="center" vertical="center" wrapText="1"/>
      <protection locked="0"/>
    </xf>
    <xf numFmtId="0" fontId="37" fillId="74" borderId="31" xfId="61347" applyFont="1" applyFill="1" applyBorder="1" applyAlignment="1" applyProtection="1">
      <alignment horizontal="center" vertical="center" wrapText="1"/>
      <protection locked="0"/>
    </xf>
    <xf numFmtId="0" fontId="37" fillId="74" borderId="12" xfId="61347" applyFont="1" applyFill="1" applyBorder="1" applyAlignment="1">
      <alignment horizontal="center" vertical="center" wrapText="1"/>
    </xf>
    <xf numFmtId="0" fontId="37" fillId="74" borderId="14" xfId="61347" applyFont="1" applyFill="1" applyBorder="1" applyAlignment="1">
      <alignment horizontal="center" vertical="center" wrapText="1"/>
    </xf>
    <xf numFmtId="0" fontId="37" fillId="74" borderId="31" xfId="61347" applyFont="1" applyFill="1" applyBorder="1" applyAlignment="1" applyProtection="1">
      <alignment horizontal="center" vertical="center"/>
      <protection locked="0"/>
    </xf>
    <xf numFmtId="0" fontId="37" fillId="74" borderId="12" xfId="61347" applyFont="1" applyFill="1" applyBorder="1" applyAlignment="1" applyProtection="1">
      <alignment horizontal="center" vertical="center"/>
      <protection locked="0"/>
    </xf>
    <xf numFmtId="0" fontId="37" fillId="74" borderId="14" xfId="61347" applyFont="1" applyFill="1" applyBorder="1" applyAlignment="1" applyProtection="1">
      <alignment horizontal="center" vertical="center"/>
      <protection locked="0"/>
    </xf>
    <xf numFmtId="3" fontId="40" fillId="74" borderId="31" xfId="61347" applyNumberFormat="1" applyFont="1" applyFill="1" applyBorder="1" applyAlignment="1">
      <alignment horizontal="center" vertical="center" wrapText="1"/>
    </xf>
    <xf numFmtId="3" fontId="40" fillId="74" borderId="12" xfId="61347" applyNumberFormat="1" applyFont="1" applyFill="1" applyBorder="1" applyAlignment="1">
      <alignment horizontal="center" vertical="center" wrapText="1"/>
    </xf>
    <xf numFmtId="3" fontId="40" fillId="74" borderId="14" xfId="61347" applyNumberFormat="1" applyFont="1" applyFill="1" applyBorder="1" applyAlignment="1">
      <alignment horizontal="center" vertical="center" wrapText="1"/>
    </xf>
    <xf numFmtId="3" fontId="40" fillId="74" borderId="15" xfId="61347" applyNumberFormat="1" applyFont="1" applyFill="1" applyBorder="1" applyAlignment="1" applyProtection="1">
      <alignment horizontal="center" vertical="center"/>
      <protection locked="0"/>
    </xf>
    <xf numFmtId="3" fontId="40" fillId="74" borderId="72" xfId="61347" applyNumberFormat="1" applyFont="1" applyFill="1" applyBorder="1" applyAlignment="1" applyProtection="1">
      <alignment horizontal="center" vertical="center"/>
      <protection locked="0"/>
    </xf>
    <xf numFmtId="3" fontId="40" fillId="74" borderId="73" xfId="61347" applyNumberFormat="1" applyFont="1" applyFill="1" applyBorder="1" applyAlignment="1" applyProtection="1">
      <alignment horizontal="center" vertical="center"/>
      <protection locked="0"/>
    </xf>
    <xf numFmtId="0" fontId="40" fillId="74" borderId="11" xfId="61347" applyFont="1" applyFill="1" applyBorder="1" applyAlignment="1">
      <alignment horizontal="center" vertical="center"/>
    </xf>
    <xf numFmtId="3" fontId="37" fillId="74" borderId="69" xfId="61347" applyNumberFormat="1" applyFont="1" applyFill="1" applyBorder="1" applyAlignment="1" applyProtection="1">
      <alignment horizontal="center" vertical="center" wrapText="1"/>
      <protection locked="0"/>
    </xf>
    <xf numFmtId="3" fontId="37" fillId="74" borderId="65" xfId="61347" applyNumberFormat="1" applyFont="1" applyFill="1" applyBorder="1" applyAlignment="1" applyProtection="1">
      <alignment horizontal="center" vertical="center" wrapText="1"/>
      <protection locked="0"/>
    </xf>
    <xf numFmtId="3" fontId="37" fillId="74" borderId="13" xfId="61347" applyNumberFormat="1" applyFont="1" applyFill="1" applyBorder="1" applyAlignment="1" applyProtection="1">
      <alignment horizontal="center" vertical="center" wrapText="1"/>
      <protection locked="0"/>
    </xf>
    <xf numFmtId="3" fontId="37" fillId="74" borderId="34" xfId="61347" applyNumberFormat="1" applyFont="1" applyFill="1" applyBorder="1" applyAlignment="1" applyProtection="1">
      <alignment horizontal="center" vertical="center" wrapText="1"/>
      <protection locked="0"/>
    </xf>
    <xf numFmtId="3" fontId="37" fillId="74" borderId="11" xfId="61347" applyNumberFormat="1" applyFont="1" applyFill="1" applyBorder="1" applyAlignment="1" applyProtection="1">
      <alignment horizontal="center" vertical="center"/>
      <protection locked="0"/>
    </xf>
    <xf numFmtId="3" fontId="40" fillId="74" borderId="31" xfId="61347" applyNumberFormat="1" applyFont="1" applyFill="1" applyBorder="1" applyAlignment="1">
      <alignment horizontal="center" vertical="center"/>
    </xf>
    <xf numFmtId="3" fontId="40" fillId="74" borderId="12" xfId="61347" applyNumberFormat="1" applyFont="1" applyFill="1" applyBorder="1" applyAlignment="1">
      <alignment horizontal="center" vertical="center"/>
    </xf>
    <xf numFmtId="3" fontId="40" fillId="74" borderId="14" xfId="61347" applyNumberFormat="1" applyFont="1" applyFill="1" applyBorder="1" applyAlignment="1">
      <alignment horizontal="center" vertical="center"/>
    </xf>
    <xf numFmtId="3" fontId="37" fillId="74" borderId="11" xfId="61347" applyNumberFormat="1" applyFont="1" applyFill="1" applyBorder="1" applyAlignment="1">
      <alignment horizontal="center" vertical="center" wrapText="1"/>
    </xf>
    <xf numFmtId="0" fontId="37" fillId="74" borderId="69" xfId="61347" applyFont="1" applyFill="1" applyBorder="1" applyAlignment="1">
      <alignment horizontal="center" vertical="center" wrapText="1"/>
    </xf>
    <xf numFmtId="0" fontId="37" fillId="74" borderId="66" xfId="61347" applyFont="1" applyFill="1" applyBorder="1" applyAlignment="1">
      <alignment horizontal="center" vertical="center" wrapText="1"/>
    </xf>
    <xf numFmtId="0" fontId="37" fillId="74" borderId="65" xfId="61347" applyFont="1" applyFill="1" applyBorder="1" applyAlignment="1">
      <alignment horizontal="center" vertical="center" wrapText="1"/>
    </xf>
    <xf numFmtId="0" fontId="37" fillId="74" borderId="13" xfId="61347" applyFont="1" applyFill="1" applyBorder="1" applyAlignment="1">
      <alignment horizontal="center" vertical="center" wrapText="1"/>
    </xf>
    <xf numFmtId="0" fontId="37" fillId="74" borderId="10" xfId="61347" applyFont="1" applyFill="1" applyBorder="1" applyAlignment="1">
      <alignment horizontal="center" vertical="center" wrapText="1"/>
    </xf>
    <xf numFmtId="0" fontId="37" fillId="74" borderId="34" xfId="61347" applyFont="1" applyFill="1" applyBorder="1" applyAlignment="1">
      <alignment horizontal="center" vertical="center" wrapText="1"/>
    </xf>
    <xf numFmtId="0" fontId="108" fillId="74" borderId="0" xfId="61329" applyFont="1" applyFill="1" applyBorder="1" applyAlignment="1">
      <alignment horizontal="center" vertical="center" wrapText="1"/>
    </xf>
    <xf numFmtId="0" fontId="45" fillId="74" borderId="11" xfId="61329" applyFont="1" applyFill="1" applyBorder="1" applyAlignment="1">
      <alignment horizontal="center" vertical="center" wrapText="1"/>
    </xf>
    <xf numFmtId="0" fontId="119" fillId="74" borderId="11" xfId="61329" applyFont="1" applyFill="1" applyBorder="1" applyAlignment="1">
      <alignment horizontal="center" vertical="center" wrapText="1"/>
    </xf>
    <xf numFmtId="3" fontId="37" fillId="74" borderId="11" xfId="61314" applyNumberFormat="1" applyFont="1" applyFill="1" applyBorder="1" applyAlignment="1">
      <alignment horizontal="center" vertical="center"/>
    </xf>
    <xf numFmtId="0" fontId="98" fillId="74" borderId="0" xfId="61352" applyFont="1" applyFill="1" applyAlignment="1"/>
    <xf numFmtId="0" fontId="34" fillId="74" borderId="11" xfId="61352" applyFont="1" applyFill="1" applyBorder="1" applyAlignment="1">
      <alignment horizontal="center" vertical="center" wrapText="1"/>
    </xf>
    <xf numFmtId="0" fontId="33" fillId="74" borderId="11" xfId="61352" applyFont="1" applyFill="1" applyBorder="1" applyAlignment="1">
      <alignment horizontal="center" vertical="center" wrapText="1"/>
    </xf>
    <xf numFmtId="0" fontId="34" fillId="74" borderId="11" xfId="61352" applyFont="1" applyFill="1" applyBorder="1" applyAlignment="1">
      <alignment horizontal="center" vertical="center" wrapText="1"/>
    </xf>
    <xf numFmtId="0" fontId="33" fillId="74" borderId="11" xfId="61352" applyFont="1" applyFill="1" applyBorder="1" applyAlignment="1">
      <alignment horizontal="center" vertical="center" wrapText="1"/>
    </xf>
    <xf numFmtId="0" fontId="33" fillId="74" borderId="11" xfId="61352" applyFont="1" applyFill="1" applyBorder="1" applyAlignment="1">
      <alignment horizontal="center" vertical="center"/>
    </xf>
    <xf numFmtId="0" fontId="33" fillId="74" borderId="11" xfId="61352" applyFont="1" applyFill="1" applyBorder="1" applyAlignment="1">
      <alignment vertical="center" wrapText="1"/>
    </xf>
    <xf numFmtId="0" fontId="33" fillId="74" borderId="11" xfId="61352" applyFont="1" applyFill="1" applyBorder="1" applyAlignment="1">
      <alignment horizontal="center" vertical="center"/>
    </xf>
    <xf numFmtId="0" fontId="114" fillId="74" borderId="11" xfId="61352" applyFont="1" applyFill="1" applyBorder="1" applyAlignment="1">
      <alignment vertical="center" wrapText="1"/>
    </xf>
    <xf numFmtId="0" fontId="33" fillId="74" borderId="11" xfId="61352" applyFont="1" applyFill="1" applyBorder="1" applyAlignment="1">
      <alignment vertical="center"/>
    </xf>
    <xf numFmtId="0" fontId="114" fillId="74" borderId="11" xfId="61352" applyFont="1" applyFill="1" applyBorder="1" applyAlignment="1">
      <alignment horizontal="center" vertical="center"/>
    </xf>
    <xf numFmtId="3" fontId="115" fillId="74" borderId="11" xfId="61352" applyNumberFormat="1" applyFont="1" applyFill="1" applyBorder="1" applyAlignment="1">
      <alignment horizontal="center" vertical="center"/>
    </xf>
  </cellXfs>
  <cellStyles count="61362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2 2 2 2" xfId="61357" xr:uid="{00000000-0005-0000-0000-000003E10000}"/>
    <cellStyle name="Обычный 10 10 10 2 2 3" xfId="61345" xr:uid="{00000000-0005-0000-0000-000004E10000}"/>
    <cellStyle name="Обычный 10 10 10 2 2 4" xfId="61355" xr:uid="{00000000-0005-0000-0000-000005E10000}"/>
    <cellStyle name="Обычный 10 10 10 3" xfId="57603" xr:uid="{00000000-0005-0000-0000-000006E10000}"/>
    <cellStyle name="Обычный 10 10 11" xfId="57604" xr:uid="{00000000-0005-0000-0000-000007E10000}"/>
    <cellStyle name="Обычный 10 10 12" xfId="57605" xr:uid="{00000000-0005-0000-0000-000008E10000}"/>
    <cellStyle name="Обычный 10 10 13" xfId="61333" xr:uid="{00000000-0005-0000-0000-000009E10000}"/>
    <cellStyle name="Обычный 10 10 14" xfId="61332" xr:uid="{00000000-0005-0000-0000-00000AE10000}"/>
    <cellStyle name="Обычный 10 10 14 2" xfId="61344" xr:uid="{00000000-0005-0000-0000-00000BE10000}"/>
    <cellStyle name="Обычный 10 10 14 3" xfId="61354" xr:uid="{00000000-0005-0000-0000-00000CE10000}"/>
    <cellStyle name="Обычный 10 10 19" xfId="61294" xr:uid="{00000000-0005-0000-0000-00000DE10000}"/>
    <cellStyle name="Обычный 10 10 19 2" xfId="61299" xr:uid="{00000000-0005-0000-0000-00000EE10000}"/>
    <cellStyle name="Обычный 10 10 2" xfId="57606" xr:uid="{00000000-0005-0000-0000-00000FE10000}"/>
    <cellStyle name="Обычный 10 10 2 2" xfId="57607" xr:uid="{00000000-0005-0000-0000-000010E10000}"/>
    <cellStyle name="Обычный 10 10 2 3" xfId="57608" xr:uid="{00000000-0005-0000-0000-000011E10000}"/>
    <cellStyle name="Обычный 10 10 3" xfId="57609" xr:uid="{00000000-0005-0000-0000-000012E10000}"/>
    <cellStyle name="Обычный 10 10 3 2" xfId="57610" xr:uid="{00000000-0005-0000-0000-000013E10000}"/>
    <cellStyle name="Обычный 10 10 3 3" xfId="57611" xr:uid="{00000000-0005-0000-0000-000014E10000}"/>
    <cellStyle name="Обычный 10 10 3 3 2" xfId="57612" xr:uid="{00000000-0005-0000-0000-000015E10000}"/>
    <cellStyle name="Обычный 10 10 3 3 3" xfId="57613" xr:uid="{00000000-0005-0000-0000-000016E10000}"/>
    <cellStyle name="Обычный 10 10 3 3 4" xfId="57614" xr:uid="{00000000-0005-0000-0000-000017E10000}"/>
    <cellStyle name="Обычный 10 10 3 3 5" xfId="57615" xr:uid="{00000000-0005-0000-0000-000018E10000}"/>
    <cellStyle name="Обычный 10 10 3 3 6" xfId="61320" xr:uid="{00000000-0005-0000-0000-000019E10000}"/>
    <cellStyle name="Обычный 10 10 3 3 6 2" xfId="61330" xr:uid="{00000000-0005-0000-0000-00001AE10000}"/>
    <cellStyle name="Обычный 10 10 4" xfId="57616" xr:uid="{00000000-0005-0000-0000-00001BE10000}"/>
    <cellStyle name="Обычный 10 10 5" xfId="57617" xr:uid="{00000000-0005-0000-0000-00001CE10000}"/>
    <cellStyle name="Обычный 10 10 6" xfId="57618" xr:uid="{00000000-0005-0000-0000-00001DE10000}"/>
    <cellStyle name="Обычный 10 10 7" xfId="57619" xr:uid="{00000000-0005-0000-0000-00001EE10000}"/>
    <cellStyle name="Обычный 10 10 8" xfId="57620" xr:uid="{00000000-0005-0000-0000-00001FE10000}"/>
    <cellStyle name="Обычный 10 10 9" xfId="57621" xr:uid="{00000000-0005-0000-0000-000020E10000}"/>
    <cellStyle name="Обычный 10 10 9 2" xfId="57622" xr:uid="{00000000-0005-0000-0000-000021E10000}"/>
    <cellStyle name="Обычный 10 11" xfId="57623" xr:uid="{00000000-0005-0000-0000-000022E10000}"/>
    <cellStyle name="Обычный 10 11 2" xfId="57624" xr:uid="{00000000-0005-0000-0000-000023E10000}"/>
    <cellStyle name="Обычный 10 11 2 2" xfId="57625" xr:uid="{00000000-0005-0000-0000-000024E10000}"/>
    <cellStyle name="Обычный 10 11 2 3" xfId="57626" xr:uid="{00000000-0005-0000-0000-000025E10000}"/>
    <cellStyle name="Обычный 10 11 3" xfId="57627" xr:uid="{00000000-0005-0000-0000-000026E10000}"/>
    <cellStyle name="Обычный 10 11 3 2" xfId="57628" xr:uid="{00000000-0005-0000-0000-000027E10000}"/>
    <cellStyle name="Обычный 10 11 3 3" xfId="57629" xr:uid="{00000000-0005-0000-0000-000028E10000}"/>
    <cellStyle name="Обычный 10 11 4" xfId="57630" xr:uid="{00000000-0005-0000-0000-000029E10000}"/>
    <cellStyle name="Обычный 10 11 5" xfId="57631" xr:uid="{00000000-0005-0000-0000-00002AE10000}"/>
    <cellStyle name="Обычный 10 12" xfId="57632" xr:uid="{00000000-0005-0000-0000-00002BE10000}"/>
    <cellStyle name="Обычный 10 12 2" xfId="57633" xr:uid="{00000000-0005-0000-0000-00002CE10000}"/>
    <cellStyle name="Обычный 10 12 2 2" xfId="57634" xr:uid="{00000000-0005-0000-0000-00002DE10000}"/>
    <cellStyle name="Обычный 10 12 2 3" xfId="57635" xr:uid="{00000000-0005-0000-0000-00002EE10000}"/>
    <cellStyle name="Обычный 10 12 3" xfId="57636" xr:uid="{00000000-0005-0000-0000-00002FE10000}"/>
    <cellStyle name="Обычный 10 12 3 2" xfId="57637" xr:uid="{00000000-0005-0000-0000-000030E10000}"/>
    <cellStyle name="Обычный 10 12 3 3" xfId="57638" xr:uid="{00000000-0005-0000-0000-000031E10000}"/>
    <cellStyle name="Обычный 10 12 4" xfId="57639" xr:uid="{00000000-0005-0000-0000-000032E10000}"/>
    <cellStyle name="Обычный 10 12 5" xfId="57640" xr:uid="{00000000-0005-0000-0000-000033E10000}"/>
    <cellStyle name="Обычный 10 13" xfId="57641" xr:uid="{00000000-0005-0000-0000-000034E10000}"/>
    <cellStyle name="Обычный 10 13 2" xfId="57642" xr:uid="{00000000-0005-0000-0000-000035E10000}"/>
    <cellStyle name="Обычный 10 13 2 2" xfId="57643" xr:uid="{00000000-0005-0000-0000-000036E10000}"/>
    <cellStyle name="Обычный 10 13 2 3" xfId="57644" xr:uid="{00000000-0005-0000-0000-000037E10000}"/>
    <cellStyle name="Обычный 10 13 3" xfId="57645" xr:uid="{00000000-0005-0000-0000-000038E10000}"/>
    <cellStyle name="Обычный 10 13 3 2" xfId="57646" xr:uid="{00000000-0005-0000-0000-000039E10000}"/>
    <cellStyle name="Обычный 10 13 3 3" xfId="57647" xr:uid="{00000000-0005-0000-0000-00003AE10000}"/>
    <cellStyle name="Обычный 10 13 4" xfId="57648" xr:uid="{00000000-0005-0000-0000-00003BE10000}"/>
    <cellStyle name="Обычный 10 13 5" xfId="57649" xr:uid="{00000000-0005-0000-0000-00003CE10000}"/>
    <cellStyle name="Обычный 10 14" xfId="57650" xr:uid="{00000000-0005-0000-0000-00003DE10000}"/>
    <cellStyle name="Обычный 10 14 2" xfId="57651" xr:uid="{00000000-0005-0000-0000-00003EE10000}"/>
    <cellStyle name="Обычный 10 14 2 2" xfId="57652" xr:uid="{00000000-0005-0000-0000-00003FE10000}"/>
    <cellStyle name="Обычный 10 14 2 3" xfId="57653" xr:uid="{00000000-0005-0000-0000-000040E10000}"/>
    <cellStyle name="Обычный 10 14 3" xfId="57654" xr:uid="{00000000-0005-0000-0000-000041E10000}"/>
    <cellStyle name="Обычный 10 14 3 2" xfId="57655" xr:uid="{00000000-0005-0000-0000-000042E10000}"/>
    <cellStyle name="Обычный 10 14 3 3" xfId="57656" xr:uid="{00000000-0005-0000-0000-000043E10000}"/>
    <cellStyle name="Обычный 10 14 4" xfId="57657" xr:uid="{00000000-0005-0000-0000-000044E10000}"/>
    <cellStyle name="Обычный 10 14 5" xfId="57658" xr:uid="{00000000-0005-0000-0000-000045E10000}"/>
    <cellStyle name="Обычный 10 15" xfId="57659" xr:uid="{00000000-0005-0000-0000-000046E10000}"/>
    <cellStyle name="Обычный 10 15 2" xfId="57660" xr:uid="{00000000-0005-0000-0000-000047E10000}"/>
    <cellStyle name="Обычный 10 15 2 2" xfId="57661" xr:uid="{00000000-0005-0000-0000-000048E10000}"/>
    <cellStyle name="Обычный 10 15 2 3" xfId="57662" xr:uid="{00000000-0005-0000-0000-000049E10000}"/>
    <cellStyle name="Обычный 10 15 3" xfId="57663" xr:uid="{00000000-0005-0000-0000-00004AE10000}"/>
    <cellStyle name="Обычный 10 15 3 2" xfId="57664" xr:uid="{00000000-0005-0000-0000-00004BE10000}"/>
    <cellStyle name="Обычный 10 15 3 3" xfId="57665" xr:uid="{00000000-0005-0000-0000-00004CE10000}"/>
    <cellStyle name="Обычный 10 15 4" xfId="57666" xr:uid="{00000000-0005-0000-0000-00004DE10000}"/>
    <cellStyle name="Обычный 10 15 5" xfId="57667" xr:uid="{00000000-0005-0000-0000-00004EE10000}"/>
    <cellStyle name="Обычный 10 16" xfId="57668" xr:uid="{00000000-0005-0000-0000-00004FE10000}"/>
    <cellStyle name="Обычный 10 16 2" xfId="57669" xr:uid="{00000000-0005-0000-0000-000050E10000}"/>
    <cellStyle name="Обычный 10 16 2 2" xfId="57670" xr:uid="{00000000-0005-0000-0000-000051E10000}"/>
    <cellStyle name="Обычный 10 16 2 3" xfId="57671" xr:uid="{00000000-0005-0000-0000-000052E10000}"/>
    <cellStyle name="Обычный 10 16 3" xfId="57672" xr:uid="{00000000-0005-0000-0000-000053E10000}"/>
    <cellStyle name="Обычный 10 16 3 2" xfId="57673" xr:uid="{00000000-0005-0000-0000-000054E10000}"/>
    <cellStyle name="Обычный 10 16 3 3" xfId="57674" xr:uid="{00000000-0005-0000-0000-000055E10000}"/>
    <cellStyle name="Обычный 10 16 4" xfId="57675" xr:uid="{00000000-0005-0000-0000-000056E10000}"/>
    <cellStyle name="Обычный 10 16 5" xfId="57676" xr:uid="{00000000-0005-0000-0000-000057E10000}"/>
    <cellStyle name="Обычный 10 17" xfId="57677" xr:uid="{00000000-0005-0000-0000-000058E10000}"/>
    <cellStyle name="Обычный 10 17 2" xfId="57678" xr:uid="{00000000-0005-0000-0000-000059E10000}"/>
    <cellStyle name="Обычный 10 17 2 2" xfId="57679" xr:uid="{00000000-0005-0000-0000-00005AE10000}"/>
    <cellStyle name="Обычный 10 17 2 3" xfId="57680" xr:uid="{00000000-0005-0000-0000-00005BE10000}"/>
    <cellStyle name="Обычный 10 17 3" xfId="57681" xr:uid="{00000000-0005-0000-0000-00005CE10000}"/>
    <cellStyle name="Обычный 10 17 3 2" xfId="57682" xr:uid="{00000000-0005-0000-0000-00005DE10000}"/>
    <cellStyle name="Обычный 10 17 3 3" xfId="57683" xr:uid="{00000000-0005-0000-0000-00005EE10000}"/>
    <cellStyle name="Обычный 10 17 4" xfId="57684" xr:uid="{00000000-0005-0000-0000-00005FE10000}"/>
    <cellStyle name="Обычный 10 17 5" xfId="57685" xr:uid="{00000000-0005-0000-0000-000060E10000}"/>
    <cellStyle name="Обычный 10 18" xfId="57686" xr:uid="{00000000-0005-0000-0000-000061E10000}"/>
    <cellStyle name="Обычный 10 18 2" xfId="57687" xr:uid="{00000000-0005-0000-0000-000062E10000}"/>
    <cellStyle name="Обычный 10 18 3" xfId="57688" xr:uid="{00000000-0005-0000-0000-000063E10000}"/>
    <cellStyle name="Обычный 10 19" xfId="57689" xr:uid="{00000000-0005-0000-0000-000064E10000}"/>
    <cellStyle name="Обычный 10 19 2" xfId="57690" xr:uid="{00000000-0005-0000-0000-000065E10000}"/>
    <cellStyle name="Обычный 10 19 3" xfId="57691" xr:uid="{00000000-0005-0000-0000-000066E10000}"/>
    <cellStyle name="Обычный 10 2" xfId="57692" xr:uid="{00000000-0005-0000-0000-000067E10000}"/>
    <cellStyle name="Обычный 10 2 2" xfId="57693" xr:uid="{00000000-0005-0000-0000-000068E10000}"/>
    <cellStyle name="Обычный 10 2 3" xfId="57694" xr:uid="{00000000-0005-0000-0000-000069E10000}"/>
    <cellStyle name="Обычный 10 2 4" xfId="57695" xr:uid="{00000000-0005-0000-0000-00006AE10000}"/>
    <cellStyle name="Обычный 10 20" xfId="57696" xr:uid="{00000000-0005-0000-0000-00006BE10000}"/>
    <cellStyle name="Обычный 10 21" xfId="57697" xr:uid="{00000000-0005-0000-0000-00006CE10000}"/>
    <cellStyle name="Обычный 10 3" xfId="57698" xr:uid="{00000000-0005-0000-0000-00006DE10000}"/>
    <cellStyle name="Обычный 10 3 2" xfId="57699" xr:uid="{00000000-0005-0000-0000-00006EE10000}"/>
    <cellStyle name="Обычный 10 3 2 2" xfId="57700" xr:uid="{00000000-0005-0000-0000-00006FE10000}"/>
    <cellStyle name="Обычный 10 3 2 2 2" xfId="57701" xr:uid="{00000000-0005-0000-0000-000070E10000}"/>
    <cellStyle name="Обычный 10 3 2 2 2 2" xfId="57702" xr:uid="{00000000-0005-0000-0000-000071E10000}"/>
    <cellStyle name="Обычный 10 3 2 2 2 3" xfId="57703" xr:uid="{00000000-0005-0000-0000-000072E10000}"/>
    <cellStyle name="Обычный 10 3 2 2 3" xfId="57704" xr:uid="{00000000-0005-0000-0000-000073E10000}"/>
    <cellStyle name="Обычный 10 3 2 2 3 2" xfId="57705" xr:uid="{00000000-0005-0000-0000-000074E10000}"/>
    <cellStyle name="Обычный 10 3 2 2 3 3" xfId="57706" xr:uid="{00000000-0005-0000-0000-000075E10000}"/>
    <cellStyle name="Обычный 10 3 2 2 4" xfId="57707" xr:uid="{00000000-0005-0000-0000-000076E10000}"/>
    <cellStyle name="Обычный 10 3 2 2 5" xfId="57708" xr:uid="{00000000-0005-0000-0000-000077E10000}"/>
    <cellStyle name="Обычный 10 3 2 3" xfId="57709" xr:uid="{00000000-0005-0000-0000-000078E10000}"/>
    <cellStyle name="Обычный 10 3 2 3 2" xfId="57710" xr:uid="{00000000-0005-0000-0000-000079E10000}"/>
    <cellStyle name="Обычный 10 3 2 3 3" xfId="57711" xr:uid="{00000000-0005-0000-0000-00007AE10000}"/>
    <cellStyle name="Обычный 10 3 2 4" xfId="57712" xr:uid="{00000000-0005-0000-0000-00007BE10000}"/>
    <cellStyle name="Обычный 10 3 2 4 2" xfId="57713" xr:uid="{00000000-0005-0000-0000-00007CE10000}"/>
    <cellStyle name="Обычный 10 3 2 4 3" xfId="57714" xr:uid="{00000000-0005-0000-0000-00007DE10000}"/>
    <cellStyle name="Обычный 10 3 2 5" xfId="57715" xr:uid="{00000000-0005-0000-0000-00007EE10000}"/>
    <cellStyle name="Обычный 10 3 2 6" xfId="57716" xr:uid="{00000000-0005-0000-0000-00007FE10000}"/>
    <cellStyle name="Обычный 10 3 2_объемы 2018г111" xfId="57717" xr:uid="{00000000-0005-0000-0000-000080E10000}"/>
    <cellStyle name="Обычный 10 3 3" xfId="57718" xr:uid="{00000000-0005-0000-0000-000081E10000}"/>
    <cellStyle name="Обычный 10 3 3 2" xfId="57719" xr:uid="{00000000-0005-0000-0000-000082E10000}"/>
    <cellStyle name="Обычный 10 3 3 2 2" xfId="57720" xr:uid="{00000000-0005-0000-0000-000083E10000}"/>
    <cellStyle name="Обычный 10 3 3 2 3" xfId="57721" xr:uid="{00000000-0005-0000-0000-000084E10000}"/>
    <cellStyle name="Обычный 10 3 3 3" xfId="57722" xr:uid="{00000000-0005-0000-0000-000085E10000}"/>
    <cellStyle name="Обычный 10 3 3 3 2" xfId="57723" xr:uid="{00000000-0005-0000-0000-000086E10000}"/>
    <cellStyle name="Обычный 10 3 3 3 3" xfId="57724" xr:uid="{00000000-0005-0000-0000-000087E10000}"/>
    <cellStyle name="Обычный 10 3 3 4" xfId="57725" xr:uid="{00000000-0005-0000-0000-000088E10000}"/>
    <cellStyle name="Обычный 10 3 3 5" xfId="57726" xr:uid="{00000000-0005-0000-0000-000089E10000}"/>
    <cellStyle name="Обычный 10 3 4" xfId="57727" xr:uid="{00000000-0005-0000-0000-00008AE10000}"/>
    <cellStyle name="Обычный 10 3 4 2" xfId="57728" xr:uid="{00000000-0005-0000-0000-00008BE10000}"/>
    <cellStyle name="Обычный 10 3 4 3" xfId="57729" xr:uid="{00000000-0005-0000-0000-00008CE10000}"/>
    <cellStyle name="Обычный 10 3 5" xfId="57730" xr:uid="{00000000-0005-0000-0000-00008DE10000}"/>
    <cellStyle name="Обычный 10 3 5 2" xfId="57731" xr:uid="{00000000-0005-0000-0000-00008EE10000}"/>
    <cellStyle name="Обычный 10 3 5 3" xfId="57732" xr:uid="{00000000-0005-0000-0000-00008FE10000}"/>
    <cellStyle name="Обычный 10 3 6" xfId="57733" xr:uid="{00000000-0005-0000-0000-000090E10000}"/>
    <cellStyle name="Обычный 10 3 7" xfId="57734" xr:uid="{00000000-0005-0000-0000-000091E10000}"/>
    <cellStyle name="Обычный 10 3_объемы 2018г111" xfId="57735" xr:uid="{00000000-0005-0000-0000-000092E10000}"/>
    <cellStyle name="Обычный 10 4" xfId="57736" xr:uid="{00000000-0005-0000-0000-000093E10000}"/>
    <cellStyle name="Обычный 10 4 2" xfId="57737" xr:uid="{00000000-0005-0000-0000-000094E10000}"/>
    <cellStyle name="Обычный 10 4 2 2" xfId="57738" xr:uid="{00000000-0005-0000-0000-000095E10000}"/>
    <cellStyle name="Обычный 10 4 2 2 2" xfId="57739" xr:uid="{00000000-0005-0000-0000-000096E10000}"/>
    <cellStyle name="Обычный 10 4 2 2 3" xfId="57740" xr:uid="{00000000-0005-0000-0000-000097E10000}"/>
    <cellStyle name="Обычный 10 4 2 3" xfId="57741" xr:uid="{00000000-0005-0000-0000-000098E10000}"/>
    <cellStyle name="Обычный 10 4 2 3 2" xfId="57742" xr:uid="{00000000-0005-0000-0000-000099E10000}"/>
    <cellStyle name="Обычный 10 4 2 3 3" xfId="57743" xr:uid="{00000000-0005-0000-0000-00009AE10000}"/>
    <cellStyle name="Обычный 10 4 2 4" xfId="57744" xr:uid="{00000000-0005-0000-0000-00009BE10000}"/>
    <cellStyle name="Обычный 10 4 2 5" xfId="57745" xr:uid="{00000000-0005-0000-0000-00009CE10000}"/>
    <cellStyle name="Обычный 10 4 3" xfId="57746" xr:uid="{00000000-0005-0000-0000-00009DE10000}"/>
    <cellStyle name="Обычный 10 4 3 2" xfId="57747" xr:uid="{00000000-0005-0000-0000-00009EE10000}"/>
    <cellStyle name="Обычный 10 4 3 3" xfId="57748" xr:uid="{00000000-0005-0000-0000-00009FE10000}"/>
    <cellStyle name="Обычный 10 4 4" xfId="57749" xr:uid="{00000000-0005-0000-0000-0000A0E10000}"/>
    <cellStyle name="Обычный 10 4 4 2" xfId="57750" xr:uid="{00000000-0005-0000-0000-0000A1E10000}"/>
    <cellStyle name="Обычный 10 4 4 3" xfId="57751" xr:uid="{00000000-0005-0000-0000-0000A2E10000}"/>
    <cellStyle name="Обычный 10 4 5" xfId="57752" xr:uid="{00000000-0005-0000-0000-0000A3E10000}"/>
    <cellStyle name="Обычный 10 4 6" xfId="57753" xr:uid="{00000000-0005-0000-0000-0000A4E10000}"/>
    <cellStyle name="Обычный 10 4_объемы 2018г111" xfId="57754" xr:uid="{00000000-0005-0000-0000-0000A5E10000}"/>
    <cellStyle name="Обычный 10 5" xfId="57755" xr:uid="{00000000-0005-0000-0000-0000A6E10000}"/>
    <cellStyle name="Обычный 10 5 2" xfId="57756" xr:uid="{00000000-0005-0000-0000-0000A7E10000}"/>
    <cellStyle name="Обычный 10 5 2 2" xfId="57757" xr:uid="{00000000-0005-0000-0000-0000A8E10000}"/>
    <cellStyle name="Обычный 10 5 2 3" xfId="57758" xr:uid="{00000000-0005-0000-0000-0000A9E10000}"/>
    <cellStyle name="Обычный 10 5 3" xfId="57759" xr:uid="{00000000-0005-0000-0000-0000AAE10000}"/>
    <cellStyle name="Обычный 10 5 3 2" xfId="57760" xr:uid="{00000000-0005-0000-0000-0000ABE10000}"/>
    <cellStyle name="Обычный 10 5 3 3" xfId="57761" xr:uid="{00000000-0005-0000-0000-0000ACE10000}"/>
    <cellStyle name="Обычный 10 5 4" xfId="57762" xr:uid="{00000000-0005-0000-0000-0000ADE10000}"/>
    <cellStyle name="Обычный 10 5 5" xfId="57763" xr:uid="{00000000-0005-0000-0000-0000AEE10000}"/>
    <cellStyle name="Обычный 10 6" xfId="57764" xr:uid="{00000000-0005-0000-0000-0000AFE10000}"/>
    <cellStyle name="Обычный 10 6 2" xfId="57765" xr:uid="{00000000-0005-0000-0000-0000B0E10000}"/>
    <cellStyle name="Обычный 10 6 2 2" xfId="57766" xr:uid="{00000000-0005-0000-0000-0000B1E10000}"/>
    <cellStyle name="Обычный 10 6 2 3" xfId="57767" xr:uid="{00000000-0005-0000-0000-0000B2E10000}"/>
    <cellStyle name="Обычный 10 6 3" xfId="57768" xr:uid="{00000000-0005-0000-0000-0000B3E10000}"/>
    <cellStyle name="Обычный 10 6 3 2" xfId="57769" xr:uid="{00000000-0005-0000-0000-0000B4E10000}"/>
    <cellStyle name="Обычный 10 6 3 3" xfId="57770" xr:uid="{00000000-0005-0000-0000-0000B5E10000}"/>
    <cellStyle name="Обычный 10 6 4" xfId="57771" xr:uid="{00000000-0005-0000-0000-0000B6E10000}"/>
    <cellStyle name="Обычный 10 6 5" xfId="57772" xr:uid="{00000000-0005-0000-0000-0000B7E10000}"/>
    <cellStyle name="Обычный 10 7" xfId="57773" xr:uid="{00000000-0005-0000-0000-0000B8E10000}"/>
    <cellStyle name="Обычный 10 7 2" xfId="57774" xr:uid="{00000000-0005-0000-0000-0000B9E10000}"/>
    <cellStyle name="Обычный 10 7 2 2" xfId="57775" xr:uid="{00000000-0005-0000-0000-0000BAE10000}"/>
    <cellStyle name="Обычный 10 7 2 3" xfId="57776" xr:uid="{00000000-0005-0000-0000-0000BBE10000}"/>
    <cellStyle name="Обычный 10 7 3" xfId="57777" xr:uid="{00000000-0005-0000-0000-0000BCE10000}"/>
    <cellStyle name="Обычный 10 7 3 2" xfId="57778" xr:uid="{00000000-0005-0000-0000-0000BDE10000}"/>
    <cellStyle name="Обычный 10 7 3 3" xfId="57779" xr:uid="{00000000-0005-0000-0000-0000BEE10000}"/>
    <cellStyle name="Обычный 10 7 4" xfId="57780" xr:uid="{00000000-0005-0000-0000-0000BFE10000}"/>
    <cellStyle name="Обычный 10 7 5" xfId="57781" xr:uid="{00000000-0005-0000-0000-0000C0E10000}"/>
    <cellStyle name="Обычный 10 8" xfId="57782" xr:uid="{00000000-0005-0000-0000-0000C1E10000}"/>
    <cellStyle name="Обычный 10 8 2" xfId="57783" xr:uid="{00000000-0005-0000-0000-0000C2E10000}"/>
    <cellStyle name="Обычный 10 8 2 2" xfId="57784" xr:uid="{00000000-0005-0000-0000-0000C3E10000}"/>
    <cellStyle name="Обычный 10 8 2 3" xfId="57785" xr:uid="{00000000-0005-0000-0000-0000C4E10000}"/>
    <cellStyle name="Обычный 10 8 3" xfId="57786" xr:uid="{00000000-0005-0000-0000-0000C5E10000}"/>
    <cellStyle name="Обычный 10 8 3 2" xfId="57787" xr:uid="{00000000-0005-0000-0000-0000C6E10000}"/>
    <cellStyle name="Обычный 10 8 3 3" xfId="57788" xr:uid="{00000000-0005-0000-0000-0000C7E10000}"/>
    <cellStyle name="Обычный 10 8 4" xfId="57789" xr:uid="{00000000-0005-0000-0000-0000C8E10000}"/>
    <cellStyle name="Обычный 10 8 5" xfId="57790" xr:uid="{00000000-0005-0000-0000-0000C9E10000}"/>
    <cellStyle name="Обычный 10 9" xfId="57791" xr:uid="{00000000-0005-0000-0000-0000CAE10000}"/>
    <cellStyle name="Обычный 10 9 2" xfId="57792" xr:uid="{00000000-0005-0000-0000-0000CBE10000}"/>
    <cellStyle name="Обычный 10 9 2 2" xfId="57793" xr:uid="{00000000-0005-0000-0000-0000CCE10000}"/>
    <cellStyle name="Обычный 10 9 2 3" xfId="57794" xr:uid="{00000000-0005-0000-0000-0000CDE10000}"/>
    <cellStyle name="Обычный 10 9 3" xfId="57795" xr:uid="{00000000-0005-0000-0000-0000CEE10000}"/>
    <cellStyle name="Обычный 10 9 3 2" xfId="57796" xr:uid="{00000000-0005-0000-0000-0000CFE10000}"/>
    <cellStyle name="Обычный 10 9 3 3" xfId="57797" xr:uid="{00000000-0005-0000-0000-0000D0E10000}"/>
    <cellStyle name="Обычный 10 9 4" xfId="57798" xr:uid="{00000000-0005-0000-0000-0000D1E10000}"/>
    <cellStyle name="Обычный 10 9 5" xfId="57799" xr:uid="{00000000-0005-0000-0000-0000D2E10000}"/>
    <cellStyle name="Обычный 10_объемы 2018г111" xfId="57800" xr:uid="{00000000-0005-0000-0000-0000D3E10000}"/>
    <cellStyle name="Обычный 100" xfId="57801" xr:uid="{00000000-0005-0000-0000-0000D4E10000}"/>
    <cellStyle name="Обычный 101" xfId="57802" xr:uid="{00000000-0005-0000-0000-0000D5E10000}"/>
    <cellStyle name="Обычный 102" xfId="57803" xr:uid="{00000000-0005-0000-0000-0000D6E10000}"/>
    <cellStyle name="Обычный 103" xfId="57804" xr:uid="{00000000-0005-0000-0000-0000D7E10000}"/>
    <cellStyle name="Обычный 104" xfId="57805" xr:uid="{00000000-0005-0000-0000-0000D8E10000}"/>
    <cellStyle name="Обычный 105" xfId="57806" xr:uid="{00000000-0005-0000-0000-0000D9E10000}"/>
    <cellStyle name="Обычный 106" xfId="57807" xr:uid="{00000000-0005-0000-0000-0000DAE10000}"/>
    <cellStyle name="Обычный 107" xfId="57808" xr:uid="{00000000-0005-0000-0000-0000DBE10000}"/>
    <cellStyle name="Обычный 108" xfId="57809" xr:uid="{00000000-0005-0000-0000-0000DCE10000}"/>
    <cellStyle name="Обычный 109" xfId="57810" xr:uid="{00000000-0005-0000-0000-0000DDE10000}"/>
    <cellStyle name="Обычный 11" xfId="57811" xr:uid="{00000000-0005-0000-0000-0000DEE10000}"/>
    <cellStyle name="Обычный 11 10" xfId="57812" xr:uid="{00000000-0005-0000-0000-0000DFE10000}"/>
    <cellStyle name="Обычный 11 10 2" xfId="57813" xr:uid="{00000000-0005-0000-0000-0000E0E10000}"/>
    <cellStyle name="Обычный 11 10 2 2" xfId="57814" xr:uid="{00000000-0005-0000-0000-0000E1E10000}"/>
    <cellStyle name="Обычный 11 10 2 3" xfId="57815" xr:uid="{00000000-0005-0000-0000-0000E2E10000}"/>
    <cellStyle name="Обычный 11 10 3" xfId="57816" xr:uid="{00000000-0005-0000-0000-0000E3E10000}"/>
    <cellStyle name="Обычный 11 10 3 2" xfId="57817" xr:uid="{00000000-0005-0000-0000-0000E4E10000}"/>
    <cellStyle name="Обычный 11 10 3 3" xfId="57818" xr:uid="{00000000-0005-0000-0000-0000E5E10000}"/>
    <cellStyle name="Обычный 11 10 4" xfId="57819" xr:uid="{00000000-0005-0000-0000-0000E6E10000}"/>
    <cellStyle name="Обычный 11 10 5" xfId="57820" xr:uid="{00000000-0005-0000-0000-0000E7E10000}"/>
    <cellStyle name="Обычный 11 11" xfId="57821" xr:uid="{00000000-0005-0000-0000-0000E8E10000}"/>
    <cellStyle name="Обычный 11 11 2" xfId="57822" xr:uid="{00000000-0005-0000-0000-0000E9E10000}"/>
    <cellStyle name="Обычный 11 11 2 2" xfId="57823" xr:uid="{00000000-0005-0000-0000-0000EAE10000}"/>
    <cellStyle name="Обычный 11 11 2 3" xfId="57824" xr:uid="{00000000-0005-0000-0000-0000EBE10000}"/>
    <cellStyle name="Обычный 11 11 3" xfId="57825" xr:uid="{00000000-0005-0000-0000-0000ECE10000}"/>
    <cellStyle name="Обычный 11 11 3 2" xfId="57826" xr:uid="{00000000-0005-0000-0000-0000EDE10000}"/>
    <cellStyle name="Обычный 11 11 3 3" xfId="57827" xr:uid="{00000000-0005-0000-0000-0000EEE10000}"/>
    <cellStyle name="Обычный 11 11 4" xfId="57828" xr:uid="{00000000-0005-0000-0000-0000EFE10000}"/>
    <cellStyle name="Обычный 11 11 5" xfId="57829" xr:uid="{00000000-0005-0000-0000-0000F0E10000}"/>
    <cellStyle name="Обычный 11 12" xfId="57830" xr:uid="{00000000-0005-0000-0000-0000F1E10000}"/>
    <cellStyle name="Обычный 11 12 2" xfId="57831" xr:uid="{00000000-0005-0000-0000-0000F2E10000}"/>
    <cellStyle name="Обычный 11 12 2 2" xfId="57832" xr:uid="{00000000-0005-0000-0000-0000F3E10000}"/>
    <cellStyle name="Обычный 11 12 2 3" xfId="57833" xr:uid="{00000000-0005-0000-0000-0000F4E10000}"/>
    <cellStyle name="Обычный 11 12 3" xfId="57834" xr:uid="{00000000-0005-0000-0000-0000F5E10000}"/>
    <cellStyle name="Обычный 11 12 3 2" xfId="57835" xr:uid="{00000000-0005-0000-0000-0000F6E10000}"/>
    <cellStyle name="Обычный 11 12 3 3" xfId="57836" xr:uid="{00000000-0005-0000-0000-0000F7E10000}"/>
    <cellStyle name="Обычный 11 12 4" xfId="57837" xr:uid="{00000000-0005-0000-0000-0000F8E10000}"/>
    <cellStyle name="Обычный 11 12 5" xfId="57838" xr:uid="{00000000-0005-0000-0000-0000F9E10000}"/>
    <cellStyle name="Обычный 11 13" xfId="57839" xr:uid="{00000000-0005-0000-0000-0000FAE10000}"/>
    <cellStyle name="Обычный 11 13 2" xfId="57840" xr:uid="{00000000-0005-0000-0000-0000FBE10000}"/>
    <cellStyle name="Обычный 11 13 2 2" xfId="57841" xr:uid="{00000000-0005-0000-0000-0000FCE10000}"/>
    <cellStyle name="Обычный 11 13 2 3" xfId="57842" xr:uid="{00000000-0005-0000-0000-0000FDE10000}"/>
    <cellStyle name="Обычный 11 13 3" xfId="57843" xr:uid="{00000000-0005-0000-0000-0000FEE10000}"/>
    <cellStyle name="Обычный 11 13 3 2" xfId="57844" xr:uid="{00000000-0005-0000-0000-0000FFE10000}"/>
    <cellStyle name="Обычный 11 13 3 3" xfId="57845" xr:uid="{00000000-0005-0000-0000-000000E20000}"/>
    <cellStyle name="Обычный 11 13 4" xfId="57846" xr:uid="{00000000-0005-0000-0000-000001E20000}"/>
    <cellStyle name="Обычный 11 13 5" xfId="57847" xr:uid="{00000000-0005-0000-0000-000002E20000}"/>
    <cellStyle name="Обычный 11 14" xfId="57848" xr:uid="{00000000-0005-0000-0000-000003E20000}"/>
    <cellStyle name="Обычный 11 14 2" xfId="57849" xr:uid="{00000000-0005-0000-0000-000004E20000}"/>
    <cellStyle name="Обычный 11 14 2 2" xfId="57850" xr:uid="{00000000-0005-0000-0000-000005E20000}"/>
    <cellStyle name="Обычный 11 14 2 3" xfId="57851" xr:uid="{00000000-0005-0000-0000-000006E20000}"/>
    <cellStyle name="Обычный 11 14 3" xfId="57852" xr:uid="{00000000-0005-0000-0000-000007E20000}"/>
    <cellStyle name="Обычный 11 14 3 2" xfId="57853" xr:uid="{00000000-0005-0000-0000-000008E20000}"/>
    <cellStyle name="Обычный 11 14 3 3" xfId="57854" xr:uid="{00000000-0005-0000-0000-000009E20000}"/>
    <cellStyle name="Обычный 11 14 4" xfId="57855" xr:uid="{00000000-0005-0000-0000-00000AE20000}"/>
    <cellStyle name="Обычный 11 14 5" xfId="57856" xr:uid="{00000000-0005-0000-0000-00000BE20000}"/>
    <cellStyle name="Обычный 11 15" xfId="57857" xr:uid="{00000000-0005-0000-0000-00000CE20000}"/>
    <cellStyle name="Обычный 11 15 2" xfId="57858" xr:uid="{00000000-0005-0000-0000-00000DE20000}"/>
    <cellStyle name="Обычный 11 15 2 2" xfId="57859" xr:uid="{00000000-0005-0000-0000-00000EE20000}"/>
    <cellStyle name="Обычный 11 15 2 3" xfId="57860" xr:uid="{00000000-0005-0000-0000-00000FE20000}"/>
    <cellStyle name="Обычный 11 15 3" xfId="57861" xr:uid="{00000000-0005-0000-0000-000010E20000}"/>
    <cellStyle name="Обычный 11 15 3 2" xfId="57862" xr:uid="{00000000-0005-0000-0000-000011E20000}"/>
    <cellStyle name="Обычный 11 15 3 3" xfId="57863" xr:uid="{00000000-0005-0000-0000-000012E20000}"/>
    <cellStyle name="Обычный 11 15 4" xfId="57864" xr:uid="{00000000-0005-0000-0000-000013E20000}"/>
    <cellStyle name="Обычный 11 15 5" xfId="57865" xr:uid="{00000000-0005-0000-0000-000014E20000}"/>
    <cellStyle name="Обычный 11 16" xfId="57866" xr:uid="{00000000-0005-0000-0000-000015E20000}"/>
    <cellStyle name="Обычный 11 16 2" xfId="57867" xr:uid="{00000000-0005-0000-0000-000016E20000}"/>
    <cellStyle name="Обычный 11 16 2 2" xfId="57868" xr:uid="{00000000-0005-0000-0000-000017E20000}"/>
    <cellStyle name="Обычный 11 16 2 3" xfId="57869" xr:uid="{00000000-0005-0000-0000-000018E20000}"/>
    <cellStyle name="Обычный 11 16 3" xfId="57870" xr:uid="{00000000-0005-0000-0000-000019E20000}"/>
    <cellStyle name="Обычный 11 16 3 2" xfId="57871" xr:uid="{00000000-0005-0000-0000-00001AE20000}"/>
    <cellStyle name="Обычный 11 16 3 3" xfId="57872" xr:uid="{00000000-0005-0000-0000-00001BE20000}"/>
    <cellStyle name="Обычный 11 16 4" xfId="57873" xr:uid="{00000000-0005-0000-0000-00001CE20000}"/>
    <cellStyle name="Обычный 11 16 5" xfId="57874" xr:uid="{00000000-0005-0000-0000-00001DE20000}"/>
    <cellStyle name="Обычный 11 17" xfId="57875" xr:uid="{00000000-0005-0000-0000-00001EE20000}"/>
    <cellStyle name="Обычный 11 17 2" xfId="57876" xr:uid="{00000000-0005-0000-0000-00001FE20000}"/>
    <cellStyle name="Обычный 11 17 3" xfId="57877" xr:uid="{00000000-0005-0000-0000-000020E20000}"/>
    <cellStyle name="Обычный 11 18" xfId="57878" xr:uid="{00000000-0005-0000-0000-000021E20000}"/>
    <cellStyle name="Обычный 11 18 2" xfId="57879" xr:uid="{00000000-0005-0000-0000-000022E20000}"/>
    <cellStyle name="Обычный 11 18 3" xfId="57880" xr:uid="{00000000-0005-0000-0000-000023E20000}"/>
    <cellStyle name="Обычный 11 19" xfId="57881" xr:uid="{00000000-0005-0000-0000-000024E20000}"/>
    <cellStyle name="Обычный 11 2" xfId="57882" xr:uid="{00000000-0005-0000-0000-000025E20000}"/>
    <cellStyle name="Обычный 11 2 2" xfId="57883" xr:uid="{00000000-0005-0000-0000-000026E20000}"/>
    <cellStyle name="Обычный 11 2 2 2" xfId="57884" xr:uid="{00000000-0005-0000-0000-000027E20000}"/>
    <cellStyle name="Обычный 11 2 2 2 2" xfId="57885" xr:uid="{00000000-0005-0000-0000-000028E20000}"/>
    <cellStyle name="Обычный 11 2 2 2 2 2" xfId="57886" xr:uid="{00000000-0005-0000-0000-000029E20000}"/>
    <cellStyle name="Обычный 11 2 2 2 2 3" xfId="57887" xr:uid="{00000000-0005-0000-0000-00002AE20000}"/>
    <cellStyle name="Обычный 11 2 2 2 3" xfId="57888" xr:uid="{00000000-0005-0000-0000-00002BE20000}"/>
    <cellStyle name="Обычный 11 2 2 2 3 2" xfId="57889" xr:uid="{00000000-0005-0000-0000-00002CE20000}"/>
    <cellStyle name="Обычный 11 2 2 2 3 3" xfId="57890" xr:uid="{00000000-0005-0000-0000-00002DE20000}"/>
    <cellStyle name="Обычный 11 2 2 2 4" xfId="57891" xr:uid="{00000000-0005-0000-0000-00002EE20000}"/>
    <cellStyle name="Обычный 11 2 2 2 5" xfId="57892" xr:uid="{00000000-0005-0000-0000-00002FE20000}"/>
    <cellStyle name="Обычный 11 2 2 3" xfId="57893" xr:uid="{00000000-0005-0000-0000-000030E20000}"/>
    <cellStyle name="Обычный 11 2 2 3 2" xfId="57894" xr:uid="{00000000-0005-0000-0000-000031E20000}"/>
    <cellStyle name="Обычный 11 2 2 3 3" xfId="57895" xr:uid="{00000000-0005-0000-0000-000032E20000}"/>
    <cellStyle name="Обычный 11 2 2 4" xfId="57896" xr:uid="{00000000-0005-0000-0000-000033E20000}"/>
    <cellStyle name="Обычный 11 2 2 4 2" xfId="57897" xr:uid="{00000000-0005-0000-0000-000034E20000}"/>
    <cellStyle name="Обычный 11 2 2 4 3" xfId="57898" xr:uid="{00000000-0005-0000-0000-000035E20000}"/>
    <cellStyle name="Обычный 11 2 2 5" xfId="57899" xr:uid="{00000000-0005-0000-0000-000036E20000}"/>
    <cellStyle name="Обычный 11 2 2 6" xfId="57900" xr:uid="{00000000-0005-0000-0000-000037E20000}"/>
    <cellStyle name="Обычный 11 2 2_объемы 2018г111" xfId="57901" xr:uid="{00000000-0005-0000-0000-000038E20000}"/>
    <cellStyle name="Обычный 11 2 3" xfId="57902" xr:uid="{00000000-0005-0000-0000-000039E20000}"/>
    <cellStyle name="Обычный 11 2 3 2" xfId="57903" xr:uid="{00000000-0005-0000-0000-00003AE20000}"/>
    <cellStyle name="Обычный 11 2 3 2 2" xfId="57904" xr:uid="{00000000-0005-0000-0000-00003BE20000}"/>
    <cellStyle name="Обычный 11 2 3 2 3" xfId="57905" xr:uid="{00000000-0005-0000-0000-00003CE20000}"/>
    <cellStyle name="Обычный 11 2 3 3" xfId="57906" xr:uid="{00000000-0005-0000-0000-00003DE20000}"/>
    <cellStyle name="Обычный 11 2 3 3 2" xfId="57907" xr:uid="{00000000-0005-0000-0000-00003EE20000}"/>
    <cellStyle name="Обычный 11 2 3 3 3" xfId="57908" xr:uid="{00000000-0005-0000-0000-00003FE20000}"/>
    <cellStyle name="Обычный 11 2 3 4" xfId="57909" xr:uid="{00000000-0005-0000-0000-000040E20000}"/>
    <cellStyle name="Обычный 11 2 3 5" xfId="57910" xr:uid="{00000000-0005-0000-0000-000041E20000}"/>
    <cellStyle name="Обычный 11 2 4" xfId="57911" xr:uid="{00000000-0005-0000-0000-000042E20000}"/>
    <cellStyle name="Обычный 11 2 4 2" xfId="57912" xr:uid="{00000000-0005-0000-0000-000043E20000}"/>
    <cellStyle name="Обычный 11 2 4 3" xfId="57913" xr:uid="{00000000-0005-0000-0000-000044E20000}"/>
    <cellStyle name="Обычный 11 2 5" xfId="57914" xr:uid="{00000000-0005-0000-0000-000045E20000}"/>
    <cellStyle name="Обычный 11 2 5 2" xfId="57915" xr:uid="{00000000-0005-0000-0000-000046E20000}"/>
    <cellStyle name="Обычный 11 2 5 3" xfId="57916" xr:uid="{00000000-0005-0000-0000-000047E20000}"/>
    <cellStyle name="Обычный 11 2 6" xfId="57917" xr:uid="{00000000-0005-0000-0000-000048E20000}"/>
    <cellStyle name="Обычный 11 2 7" xfId="57918" xr:uid="{00000000-0005-0000-0000-000049E20000}"/>
    <cellStyle name="Обычный 11 2_объемы 2018г111" xfId="57919" xr:uid="{00000000-0005-0000-0000-00004AE20000}"/>
    <cellStyle name="Обычный 11 20" xfId="57920" xr:uid="{00000000-0005-0000-0000-00004BE20000}"/>
    <cellStyle name="Обычный 11 3" xfId="57921" xr:uid="{00000000-0005-0000-0000-00004CE20000}"/>
    <cellStyle name="Обычный 11 3 2" xfId="57922" xr:uid="{00000000-0005-0000-0000-00004DE20000}"/>
    <cellStyle name="Обычный 11 3 2 2" xfId="57923" xr:uid="{00000000-0005-0000-0000-00004EE20000}"/>
    <cellStyle name="Обычный 11 3 2 2 2" xfId="57924" xr:uid="{00000000-0005-0000-0000-00004FE20000}"/>
    <cellStyle name="Обычный 11 3 2 2 3" xfId="57925" xr:uid="{00000000-0005-0000-0000-000050E20000}"/>
    <cellStyle name="Обычный 11 3 2 3" xfId="57926" xr:uid="{00000000-0005-0000-0000-000051E20000}"/>
    <cellStyle name="Обычный 11 3 2 3 2" xfId="57927" xr:uid="{00000000-0005-0000-0000-000052E20000}"/>
    <cellStyle name="Обычный 11 3 2 3 3" xfId="57928" xr:uid="{00000000-0005-0000-0000-000053E20000}"/>
    <cellStyle name="Обычный 11 3 2 4" xfId="57929" xr:uid="{00000000-0005-0000-0000-000054E20000}"/>
    <cellStyle name="Обычный 11 3 2 5" xfId="57930" xr:uid="{00000000-0005-0000-0000-000055E20000}"/>
    <cellStyle name="Обычный 11 3 3" xfId="57931" xr:uid="{00000000-0005-0000-0000-000056E20000}"/>
    <cellStyle name="Обычный 11 3 3 2" xfId="57932" xr:uid="{00000000-0005-0000-0000-000057E20000}"/>
    <cellStyle name="Обычный 11 3 3 3" xfId="57933" xr:uid="{00000000-0005-0000-0000-000058E20000}"/>
    <cellStyle name="Обычный 11 3 4" xfId="57934" xr:uid="{00000000-0005-0000-0000-000059E20000}"/>
    <cellStyle name="Обычный 11 3 4 2" xfId="57935" xr:uid="{00000000-0005-0000-0000-00005AE20000}"/>
    <cellStyle name="Обычный 11 3 4 3" xfId="57936" xr:uid="{00000000-0005-0000-0000-00005BE20000}"/>
    <cellStyle name="Обычный 11 3 5" xfId="57937" xr:uid="{00000000-0005-0000-0000-00005CE20000}"/>
    <cellStyle name="Обычный 11 3 6" xfId="57938" xr:uid="{00000000-0005-0000-0000-00005DE20000}"/>
    <cellStyle name="Обычный 11 3_объемы 2018г111" xfId="57939" xr:uid="{00000000-0005-0000-0000-00005EE20000}"/>
    <cellStyle name="Обычный 11 4" xfId="57940" xr:uid="{00000000-0005-0000-0000-00005FE20000}"/>
    <cellStyle name="Обычный 11 4 2" xfId="57941" xr:uid="{00000000-0005-0000-0000-000060E20000}"/>
    <cellStyle name="Обычный 11 4 2 2" xfId="57942" xr:uid="{00000000-0005-0000-0000-000061E20000}"/>
    <cellStyle name="Обычный 11 4 2 3" xfId="57943" xr:uid="{00000000-0005-0000-0000-000062E20000}"/>
    <cellStyle name="Обычный 11 4 3" xfId="57944" xr:uid="{00000000-0005-0000-0000-000063E20000}"/>
    <cellStyle name="Обычный 11 4 3 2" xfId="57945" xr:uid="{00000000-0005-0000-0000-000064E20000}"/>
    <cellStyle name="Обычный 11 4 3 3" xfId="57946" xr:uid="{00000000-0005-0000-0000-000065E20000}"/>
    <cellStyle name="Обычный 11 4 4" xfId="57947" xr:uid="{00000000-0005-0000-0000-000066E20000}"/>
    <cellStyle name="Обычный 11 4 5" xfId="57948" xr:uid="{00000000-0005-0000-0000-000067E20000}"/>
    <cellStyle name="Обычный 11 5" xfId="57949" xr:uid="{00000000-0005-0000-0000-000068E20000}"/>
    <cellStyle name="Обычный 11 5 2" xfId="57950" xr:uid="{00000000-0005-0000-0000-000069E20000}"/>
    <cellStyle name="Обычный 11 5 2 2" xfId="57951" xr:uid="{00000000-0005-0000-0000-00006AE20000}"/>
    <cellStyle name="Обычный 11 5 2 3" xfId="57952" xr:uid="{00000000-0005-0000-0000-00006BE20000}"/>
    <cellStyle name="Обычный 11 5 3" xfId="57953" xr:uid="{00000000-0005-0000-0000-00006CE20000}"/>
    <cellStyle name="Обычный 11 5 3 2" xfId="57954" xr:uid="{00000000-0005-0000-0000-00006DE20000}"/>
    <cellStyle name="Обычный 11 5 3 3" xfId="57955" xr:uid="{00000000-0005-0000-0000-00006EE20000}"/>
    <cellStyle name="Обычный 11 5 4" xfId="57956" xr:uid="{00000000-0005-0000-0000-00006FE20000}"/>
    <cellStyle name="Обычный 11 5 5" xfId="57957" xr:uid="{00000000-0005-0000-0000-000070E20000}"/>
    <cellStyle name="Обычный 11 6" xfId="57958" xr:uid="{00000000-0005-0000-0000-000071E20000}"/>
    <cellStyle name="Обычный 11 6 2" xfId="57959" xr:uid="{00000000-0005-0000-0000-000072E20000}"/>
    <cellStyle name="Обычный 11 6 2 2" xfId="57960" xr:uid="{00000000-0005-0000-0000-000073E20000}"/>
    <cellStyle name="Обычный 11 6 2 3" xfId="57961" xr:uid="{00000000-0005-0000-0000-000074E20000}"/>
    <cellStyle name="Обычный 11 6 3" xfId="57962" xr:uid="{00000000-0005-0000-0000-000075E20000}"/>
    <cellStyle name="Обычный 11 6 3 2" xfId="57963" xr:uid="{00000000-0005-0000-0000-000076E20000}"/>
    <cellStyle name="Обычный 11 6 3 3" xfId="57964" xr:uid="{00000000-0005-0000-0000-000077E20000}"/>
    <cellStyle name="Обычный 11 6 4" xfId="57965" xr:uid="{00000000-0005-0000-0000-000078E20000}"/>
    <cellStyle name="Обычный 11 6 5" xfId="57966" xr:uid="{00000000-0005-0000-0000-000079E20000}"/>
    <cellStyle name="Обычный 11 7" xfId="57967" xr:uid="{00000000-0005-0000-0000-00007AE20000}"/>
    <cellStyle name="Обычный 11 7 2" xfId="57968" xr:uid="{00000000-0005-0000-0000-00007BE20000}"/>
    <cellStyle name="Обычный 11 7 2 2" xfId="57969" xr:uid="{00000000-0005-0000-0000-00007CE20000}"/>
    <cellStyle name="Обычный 11 7 2 3" xfId="57970" xr:uid="{00000000-0005-0000-0000-00007DE20000}"/>
    <cellStyle name="Обычный 11 7 3" xfId="57971" xr:uid="{00000000-0005-0000-0000-00007EE20000}"/>
    <cellStyle name="Обычный 11 7 3 2" xfId="57972" xr:uid="{00000000-0005-0000-0000-00007FE20000}"/>
    <cellStyle name="Обычный 11 7 3 3" xfId="57973" xr:uid="{00000000-0005-0000-0000-000080E20000}"/>
    <cellStyle name="Обычный 11 7 4" xfId="57974" xr:uid="{00000000-0005-0000-0000-000081E20000}"/>
    <cellStyle name="Обычный 11 7 5" xfId="57975" xr:uid="{00000000-0005-0000-0000-000082E20000}"/>
    <cellStyle name="Обычный 11 8" xfId="57976" xr:uid="{00000000-0005-0000-0000-000083E20000}"/>
    <cellStyle name="Обычный 11 8 2" xfId="57977" xr:uid="{00000000-0005-0000-0000-000084E20000}"/>
    <cellStyle name="Обычный 11 8 2 2" xfId="57978" xr:uid="{00000000-0005-0000-0000-000085E20000}"/>
    <cellStyle name="Обычный 11 8 2 3" xfId="57979" xr:uid="{00000000-0005-0000-0000-000086E20000}"/>
    <cellStyle name="Обычный 11 8 3" xfId="57980" xr:uid="{00000000-0005-0000-0000-000087E20000}"/>
    <cellStyle name="Обычный 11 8 3 2" xfId="57981" xr:uid="{00000000-0005-0000-0000-000088E20000}"/>
    <cellStyle name="Обычный 11 8 3 3" xfId="57982" xr:uid="{00000000-0005-0000-0000-000089E20000}"/>
    <cellStyle name="Обычный 11 8 4" xfId="57983" xr:uid="{00000000-0005-0000-0000-00008AE20000}"/>
    <cellStyle name="Обычный 11 8 5" xfId="57984" xr:uid="{00000000-0005-0000-0000-00008BE20000}"/>
    <cellStyle name="Обычный 11 9" xfId="57985" xr:uid="{00000000-0005-0000-0000-00008CE20000}"/>
    <cellStyle name="Обычный 11 9 2" xfId="57986" xr:uid="{00000000-0005-0000-0000-00008DE20000}"/>
    <cellStyle name="Обычный 11 9 2 2" xfId="57987" xr:uid="{00000000-0005-0000-0000-00008EE20000}"/>
    <cellStyle name="Обычный 11 9 2 3" xfId="57988" xr:uid="{00000000-0005-0000-0000-00008FE20000}"/>
    <cellStyle name="Обычный 11 9 3" xfId="57989" xr:uid="{00000000-0005-0000-0000-000090E20000}"/>
    <cellStyle name="Обычный 11 9 3 2" xfId="57990" xr:uid="{00000000-0005-0000-0000-000091E20000}"/>
    <cellStyle name="Обычный 11 9 3 3" xfId="57991" xr:uid="{00000000-0005-0000-0000-000092E20000}"/>
    <cellStyle name="Обычный 11 9 4" xfId="57992" xr:uid="{00000000-0005-0000-0000-000093E20000}"/>
    <cellStyle name="Обычный 11 9 5" xfId="57993" xr:uid="{00000000-0005-0000-0000-000094E20000}"/>
    <cellStyle name="Обычный 11_объемы 2018г111" xfId="57994" xr:uid="{00000000-0005-0000-0000-000095E20000}"/>
    <cellStyle name="Обычный 110" xfId="57995" xr:uid="{00000000-0005-0000-0000-000096E20000}"/>
    <cellStyle name="Обычный 111" xfId="57996" xr:uid="{00000000-0005-0000-0000-000097E20000}"/>
    <cellStyle name="Обычный 112" xfId="57997" xr:uid="{00000000-0005-0000-0000-000098E20000}"/>
    <cellStyle name="Обычный 113" xfId="57998" xr:uid="{00000000-0005-0000-0000-000099E20000}"/>
    <cellStyle name="Обычный 114" xfId="57999" xr:uid="{00000000-0005-0000-0000-00009AE20000}"/>
    <cellStyle name="Обычный 115" xfId="58000" xr:uid="{00000000-0005-0000-0000-00009BE20000}"/>
    <cellStyle name="Обычный 116" xfId="58001" xr:uid="{00000000-0005-0000-0000-00009CE20000}"/>
    <cellStyle name="Обычный 117" xfId="58002" xr:uid="{00000000-0005-0000-0000-00009DE20000}"/>
    <cellStyle name="Обычный 118" xfId="58003" xr:uid="{00000000-0005-0000-0000-00009EE20000}"/>
    <cellStyle name="Обычный 119" xfId="58004" xr:uid="{00000000-0005-0000-0000-00009FE20000}"/>
    <cellStyle name="Обычный 12" xfId="58005" xr:uid="{00000000-0005-0000-0000-0000A0E20000}"/>
    <cellStyle name="Обычный 12 10" xfId="58006" xr:uid="{00000000-0005-0000-0000-0000A1E20000}"/>
    <cellStyle name="Обычный 12 10 2" xfId="58007" xr:uid="{00000000-0005-0000-0000-0000A2E20000}"/>
    <cellStyle name="Обычный 12 10 2 2" xfId="58008" xr:uid="{00000000-0005-0000-0000-0000A3E20000}"/>
    <cellStyle name="Обычный 12 10 2 3" xfId="58009" xr:uid="{00000000-0005-0000-0000-0000A4E20000}"/>
    <cellStyle name="Обычный 12 10 3" xfId="58010" xr:uid="{00000000-0005-0000-0000-0000A5E20000}"/>
    <cellStyle name="Обычный 12 10 3 2" xfId="58011" xr:uid="{00000000-0005-0000-0000-0000A6E20000}"/>
    <cellStyle name="Обычный 12 10 3 3" xfId="58012" xr:uid="{00000000-0005-0000-0000-0000A7E20000}"/>
    <cellStyle name="Обычный 12 10 4" xfId="58013" xr:uid="{00000000-0005-0000-0000-0000A8E20000}"/>
    <cellStyle name="Обычный 12 10 5" xfId="58014" xr:uid="{00000000-0005-0000-0000-0000A9E20000}"/>
    <cellStyle name="Обычный 12 11" xfId="58015" xr:uid="{00000000-0005-0000-0000-0000AAE20000}"/>
    <cellStyle name="Обычный 12 11 2" xfId="58016" xr:uid="{00000000-0005-0000-0000-0000ABE20000}"/>
    <cellStyle name="Обычный 12 11 2 2" xfId="58017" xr:uid="{00000000-0005-0000-0000-0000ACE20000}"/>
    <cellStyle name="Обычный 12 11 2 3" xfId="58018" xr:uid="{00000000-0005-0000-0000-0000ADE20000}"/>
    <cellStyle name="Обычный 12 11 3" xfId="58019" xr:uid="{00000000-0005-0000-0000-0000AEE20000}"/>
    <cellStyle name="Обычный 12 11 3 2" xfId="58020" xr:uid="{00000000-0005-0000-0000-0000AFE20000}"/>
    <cellStyle name="Обычный 12 11 3 3" xfId="58021" xr:uid="{00000000-0005-0000-0000-0000B0E20000}"/>
    <cellStyle name="Обычный 12 11 4" xfId="58022" xr:uid="{00000000-0005-0000-0000-0000B1E20000}"/>
    <cellStyle name="Обычный 12 11 5" xfId="58023" xr:uid="{00000000-0005-0000-0000-0000B2E20000}"/>
    <cellStyle name="Обычный 12 12" xfId="58024" xr:uid="{00000000-0005-0000-0000-0000B3E20000}"/>
    <cellStyle name="Обычный 12 12 2" xfId="58025" xr:uid="{00000000-0005-0000-0000-0000B4E20000}"/>
    <cellStyle name="Обычный 12 12 2 2" xfId="58026" xr:uid="{00000000-0005-0000-0000-0000B5E20000}"/>
    <cellStyle name="Обычный 12 12 2 3" xfId="58027" xr:uid="{00000000-0005-0000-0000-0000B6E20000}"/>
    <cellStyle name="Обычный 12 12 3" xfId="58028" xr:uid="{00000000-0005-0000-0000-0000B7E20000}"/>
    <cellStyle name="Обычный 12 12 3 2" xfId="58029" xr:uid="{00000000-0005-0000-0000-0000B8E20000}"/>
    <cellStyle name="Обычный 12 12 3 3" xfId="58030" xr:uid="{00000000-0005-0000-0000-0000B9E20000}"/>
    <cellStyle name="Обычный 12 12 4" xfId="58031" xr:uid="{00000000-0005-0000-0000-0000BAE20000}"/>
    <cellStyle name="Обычный 12 12 5" xfId="58032" xr:uid="{00000000-0005-0000-0000-0000BBE20000}"/>
    <cellStyle name="Обычный 12 13" xfId="58033" xr:uid="{00000000-0005-0000-0000-0000BCE20000}"/>
    <cellStyle name="Обычный 12 13 2" xfId="58034" xr:uid="{00000000-0005-0000-0000-0000BDE20000}"/>
    <cellStyle name="Обычный 12 13 2 2" xfId="58035" xr:uid="{00000000-0005-0000-0000-0000BEE20000}"/>
    <cellStyle name="Обычный 12 13 2 3" xfId="58036" xr:uid="{00000000-0005-0000-0000-0000BFE20000}"/>
    <cellStyle name="Обычный 12 13 3" xfId="58037" xr:uid="{00000000-0005-0000-0000-0000C0E20000}"/>
    <cellStyle name="Обычный 12 13 3 2" xfId="58038" xr:uid="{00000000-0005-0000-0000-0000C1E20000}"/>
    <cellStyle name="Обычный 12 13 3 3" xfId="58039" xr:uid="{00000000-0005-0000-0000-0000C2E20000}"/>
    <cellStyle name="Обычный 12 13 4" xfId="58040" xr:uid="{00000000-0005-0000-0000-0000C3E20000}"/>
    <cellStyle name="Обычный 12 13 5" xfId="58041" xr:uid="{00000000-0005-0000-0000-0000C4E20000}"/>
    <cellStyle name="Обычный 12 14" xfId="58042" xr:uid="{00000000-0005-0000-0000-0000C5E20000}"/>
    <cellStyle name="Обычный 12 14 2" xfId="58043" xr:uid="{00000000-0005-0000-0000-0000C6E20000}"/>
    <cellStyle name="Обычный 12 14 2 2" xfId="58044" xr:uid="{00000000-0005-0000-0000-0000C7E20000}"/>
    <cellStyle name="Обычный 12 14 2 3" xfId="58045" xr:uid="{00000000-0005-0000-0000-0000C8E20000}"/>
    <cellStyle name="Обычный 12 14 3" xfId="58046" xr:uid="{00000000-0005-0000-0000-0000C9E20000}"/>
    <cellStyle name="Обычный 12 14 3 2" xfId="58047" xr:uid="{00000000-0005-0000-0000-0000CAE20000}"/>
    <cellStyle name="Обычный 12 14 3 3" xfId="58048" xr:uid="{00000000-0005-0000-0000-0000CBE20000}"/>
    <cellStyle name="Обычный 12 14 4" xfId="58049" xr:uid="{00000000-0005-0000-0000-0000CCE20000}"/>
    <cellStyle name="Обычный 12 14 5" xfId="58050" xr:uid="{00000000-0005-0000-0000-0000CDE20000}"/>
    <cellStyle name="Обычный 12 15" xfId="58051" xr:uid="{00000000-0005-0000-0000-0000CEE20000}"/>
    <cellStyle name="Обычный 12 15 2" xfId="58052" xr:uid="{00000000-0005-0000-0000-0000CFE20000}"/>
    <cellStyle name="Обычный 12 15 2 2" xfId="58053" xr:uid="{00000000-0005-0000-0000-0000D0E20000}"/>
    <cellStyle name="Обычный 12 15 2 3" xfId="58054" xr:uid="{00000000-0005-0000-0000-0000D1E20000}"/>
    <cellStyle name="Обычный 12 15 3" xfId="58055" xr:uid="{00000000-0005-0000-0000-0000D2E20000}"/>
    <cellStyle name="Обычный 12 15 3 2" xfId="58056" xr:uid="{00000000-0005-0000-0000-0000D3E20000}"/>
    <cellStyle name="Обычный 12 15 3 3" xfId="58057" xr:uid="{00000000-0005-0000-0000-0000D4E20000}"/>
    <cellStyle name="Обычный 12 15 4" xfId="58058" xr:uid="{00000000-0005-0000-0000-0000D5E20000}"/>
    <cellStyle name="Обычный 12 15 5" xfId="58059" xr:uid="{00000000-0005-0000-0000-0000D6E20000}"/>
    <cellStyle name="Обычный 12 16" xfId="58060" xr:uid="{00000000-0005-0000-0000-0000D7E20000}"/>
    <cellStyle name="Обычный 12 16 2" xfId="58061" xr:uid="{00000000-0005-0000-0000-0000D8E20000}"/>
    <cellStyle name="Обычный 12 16 2 2" xfId="58062" xr:uid="{00000000-0005-0000-0000-0000D9E20000}"/>
    <cellStyle name="Обычный 12 16 2 3" xfId="58063" xr:uid="{00000000-0005-0000-0000-0000DAE20000}"/>
    <cellStyle name="Обычный 12 16 3" xfId="58064" xr:uid="{00000000-0005-0000-0000-0000DBE20000}"/>
    <cellStyle name="Обычный 12 16 3 2" xfId="58065" xr:uid="{00000000-0005-0000-0000-0000DCE20000}"/>
    <cellStyle name="Обычный 12 16 3 3" xfId="58066" xr:uid="{00000000-0005-0000-0000-0000DDE20000}"/>
    <cellStyle name="Обычный 12 16 4" xfId="58067" xr:uid="{00000000-0005-0000-0000-0000DEE20000}"/>
    <cellStyle name="Обычный 12 16 5" xfId="58068" xr:uid="{00000000-0005-0000-0000-0000DFE20000}"/>
    <cellStyle name="Обычный 12 17" xfId="58069" xr:uid="{00000000-0005-0000-0000-0000E0E20000}"/>
    <cellStyle name="Обычный 12 17 2" xfId="58070" xr:uid="{00000000-0005-0000-0000-0000E1E20000}"/>
    <cellStyle name="Обычный 12 17 3" xfId="58071" xr:uid="{00000000-0005-0000-0000-0000E2E20000}"/>
    <cellStyle name="Обычный 12 18" xfId="58072" xr:uid="{00000000-0005-0000-0000-0000E3E20000}"/>
    <cellStyle name="Обычный 12 18 2" xfId="58073" xr:uid="{00000000-0005-0000-0000-0000E4E20000}"/>
    <cellStyle name="Обычный 12 18 3" xfId="58074" xr:uid="{00000000-0005-0000-0000-0000E5E20000}"/>
    <cellStyle name="Обычный 12 19" xfId="58075" xr:uid="{00000000-0005-0000-0000-0000E6E20000}"/>
    <cellStyle name="Обычный 12 2" xfId="58076" xr:uid="{00000000-0005-0000-0000-0000E7E20000}"/>
    <cellStyle name="Обычный 12 2 2" xfId="58077" xr:uid="{00000000-0005-0000-0000-0000E8E20000}"/>
    <cellStyle name="Обычный 12 2 2 2" xfId="58078" xr:uid="{00000000-0005-0000-0000-0000E9E20000}"/>
    <cellStyle name="Обычный 12 2 2 2 2" xfId="58079" xr:uid="{00000000-0005-0000-0000-0000EAE20000}"/>
    <cellStyle name="Обычный 12 2 2 2 2 2" xfId="58080" xr:uid="{00000000-0005-0000-0000-0000EBE20000}"/>
    <cellStyle name="Обычный 12 2 2 2 2 3" xfId="58081" xr:uid="{00000000-0005-0000-0000-0000ECE20000}"/>
    <cellStyle name="Обычный 12 2 2 2 3" xfId="58082" xr:uid="{00000000-0005-0000-0000-0000EDE20000}"/>
    <cellStyle name="Обычный 12 2 2 2 3 2" xfId="58083" xr:uid="{00000000-0005-0000-0000-0000EEE20000}"/>
    <cellStyle name="Обычный 12 2 2 2 3 3" xfId="58084" xr:uid="{00000000-0005-0000-0000-0000EFE20000}"/>
    <cellStyle name="Обычный 12 2 2 2 4" xfId="58085" xr:uid="{00000000-0005-0000-0000-0000F0E20000}"/>
    <cellStyle name="Обычный 12 2 2 2 5" xfId="58086" xr:uid="{00000000-0005-0000-0000-0000F1E20000}"/>
    <cellStyle name="Обычный 12 2 2 3" xfId="58087" xr:uid="{00000000-0005-0000-0000-0000F2E20000}"/>
    <cellStyle name="Обычный 12 2 2 3 2" xfId="58088" xr:uid="{00000000-0005-0000-0000-0000F3E20000}"/>
    <cellStyle name="Обычный 12 2 2 3 3" xfId="58089" xr:uid="{00000000-0005-0000-0000-0000F4E20000}"/>
    <cellStyle name="Обычный 12 2 2 4" xfId="58090" xr:uid="{00000000-0005-0000-0000-0000F5E20000}"/>
    <cellStyle name="Обычный 12 2 2 4 2" xfId="58091" xr:uid="{00000000-0005-0000-0000-0000F6E20000}"/>
    <cellStyle name="Обычный 12 2 2 4 3" xfId="58092" xr:uid="{00000000-0005-0000-0000-0000F7E20000}"/>
    <cellStyle name="Обычный 12 2 2 5" xfId="58093" xr:uid="{00000000-0005-0000-0000-0000F8E20000}"/>
    <cellStyle name="Обычный 12 2 2 6" xfId="58094" xr:uid="{00000000-0005-0000-0000-0000F9E20000}"/>
    <cellStyle name="Обычный 12 2 2_объемы 2018г111" xfId="58095" xr:uid="{00000000-0005-0000-0000-0000FAE20000}"/>
    <cellStyle name="Обычный 12 2 3" xfId="58096" xr:uid="{00000000-0005-0000-0000-0000FBE20000}"/>
    <cellStyle name="Обычный 12 2 3 2" xfId="58097" xr:uid="{00000000-0005-0000-0000-0000FCE20000}"/>
    <cellStyle name="Обычный 12 2 3 2 2" xfId="58098" xr:uid="{00000000-0005-0000-0000-0000FDE20000}"/>
    <cellStyle name="Обычный 12 2 3 2 3" xfId="58099" xr:uid="{00000000-0005-0000-0000-0000FEE20000}"/>
    <cellStyle name="Обычный 12 2 3 3" xfId="58100" xr:uid="{00000000-0005-0000-0000-0000FFE20000}"/>
    <cellStyle name="Обычный 12 2 3 3 2" xfId="58101" xr:uid="{00000000-0005-0000-0000-000000E30000}"/>
    <cellStyle name="Обычный 12 2 3 3 3" xfId="58102" xr:uid="{00000000-0005-0000-0000-000001E30000}"/>
    <cellStyle name="Обычный 12 2 3 4" xfId="58103" xr:uid="{00000000-0005-0000-0000-000002E30000}"/>
    <cellStyle name="Обычный 12 2 3 5" xfId="58104" xr:uid="{00000000-0005-0000-0000-000003E30000}"/>
    <cellStyle name="Обычный 12 2 4" xfId="58105" xr:uid="{00000000-0005-0000-0000-000004E30000}"/>
    <cellStyle name="Обычный 12 2 4 2" xfId="58106" xr:uid="{00000000-0005-0000-0000-000005E30000}"/>
    <cellStyle name="Обычный 12 2 4 3" xfId="58107" xr:uid="{00000000-0005-0000-0000-000006E30000}"/>
    <cellStyle name="Обычный 12 2 5" xfId="58108" xr:uid="{00000000-0005-0000-0000-000007E30000}"/>
    <cellStyle name="Обычный 12 2 5 2" xfId="58109" xr:uid="{00000000-0005-0000-0000-000008E30000}"/>
    <cellStyle name="Обычный 12 2 5 3" xfId="58110" xr:uid="{00000000-0005-0000-0000-000009E30000}"/>
    <cellStyle name="Обычный 12 2 6" xfId="58111" xr:uid="{00000000-0005-0000-0000-00000AE30000}"/>
    <cellStyle name="Обычный 12 2 7" xfId="58112" xr:uid="{00000000-0005-0000-0000-00000BE30000}"/>
    <cellStyle name="Обычный 12 2_объемы 2018г111" xfId="58113" xr:uid="{00000000-0005-0000-0000-00000CE30000}"/>
    <cellStyle name="Обычный 12 20" xfId="58114" xr:uid="{00000000-0005-0000-0000-00000DE30000}"/>
    <cellStyle name="Обычный 12 3" xfId="58115" xr:uid="{00000000-0005-0000-0000-00000EE30000}"/>
    <cellStyle name="Обычный 12 3 2" xfId="58116" xr:uid="{00000000-0005-0000-0000-00000FE30000}"/>
    <cellStyle name="Обычный 12 3 2 2" xfId="58117" xr:uid="{00000000-0005-0000-0000-000010E30000}"/>
    <cellStyle name="Обычный 12 3 2 2 2" xfId="58118" xr:uid="{00000000-0005-0000-0000-000011E30000}"/>
    <cellStyle name="Обычный 12 3 2 2 3" xfId="58119" xr:uid="{00000000-0005-0000-0000-000012E30000}"/>
    <cellStyle name="Обычный 12 3 2 3" xfId="58120" xr:uid="{00000000-0005-0000-0000-000013E30000}"/>
    <cellStyle name="Обычный 12 3 2 3 2" xfId="58121" xr:uid="{00000000-0005-0000-0000-000014E30000}"/>
    <cellStyle name="Обычный 12 3 2 3 3" xfId="58122" xr:uid="{00000000-0005-0000-0000-000015E30000}"/>
    <cellStyle name="Обычный 12 3 2 4" xfId="58123" xr:uid="{00000000-0005-0000-0000-000016E30000}"/>
    <cellStyle name="Обычный 12 3 2 5" xfId="58124" xr:uid="{00000000-0005-0000-0000-000017E30000}"/>
    <cellStyle name="Обычный 12 3 3" xfId="58125" xr:uid="{00000000-0005-0000-0000-000018E30000}"/>
    <cellStyle name="Обычный 12 3 3 2" xfId="58126" xr:uid="{00000000-0005-0000-0000-000019E30000}"/>
    <cellStyle name="Обычный 12 3 3 3" xfId="58127" xr:uid="{00000000-0005-0000-0000-00001AE30000}"/>
    <cellStyle name="Обычный 12 3 4" xfId="58128" xr:uid="{00000000-0005-0000-0000-00001BE30000}"/>
    <cellStyle name="Обычный 12 3 4 2" xfId="58129" xr:uid="{00000000-0005-0000-0000-00001CE30000}"/>
    <cellStyle name="Обычный 12 3 4 3" xfId="58130" xr:uid="{00000000-0005-0000-0000-00001DE30000}"/>
    <cellStyle name="Обычный 12 3 5" xfId="58131" xr:uid="{00000000-0005-0000-0000-00001EE30000}"/>
    <cellStyle name="Обычный 12 3 6" xfId="58132" xr:uid="{00000000-0005-0000-0000-00001FE30000}"/>
    <cellStyle name="Обычный 12 3_объемы 2018г111" xfId="58133" xr:uid="{00000000-0005-0000-0000-000020E30000}"/>
    <cellStyle name="Обычный 12 4" xfId="58134" xr:uid="{00000000-0005-0000-0000-000021E30000}"/>
    <cellStyle name="Обычный 12 4 2" xfId="58135" xr:uid="{00000000-0005-0000-0000-000022E30000}"/>
    <cellStyle name="Обычный 12 4 2 2" xfId="58136" xr:uid="{00000000-0005-0000-0000-000023E30000}"/>
    <cellStyle name="Обычный 12 4 2 3" xfId="58137" xr:uid="{00000000-0005-0000-0000-000024E30000}"/>
    <cellStyle name="Обычный 12 4 3" xfId="58138" xr:uid="{00000000-0005-0000-0000-000025E30000}"/>
    <cellStyle name="Обычный 12 4 3 2" xfId="58139" xr:uid="{00000000-0005-0000-0000-000026E30000}"/>
    <cellStyle name="Обычный 12 4 3 3" xfId="58140" xr:uid="{00000000-0005-0000-0000-000027E30000}"/>
    <cellStyle name="Обычный 12 4 4" xfId="58141" xr:uid="{00000000-0005-0000-0000-000028E30000}"/>
    <cellStyle name="Обычный 12 4 5" xfId="58142" xr:uid="{00000000-0005-0000-0000-000029E30000}"/>
    <cellStyle name="Обычный 12 5" xfId="58143" xr:uid="{00000000-0005-0000-0000-00002AE30000}"/>
    <cellStyle name="Обычный 12 5 2" xfId="58144" xr:uid="{00000000-0005-0000-0000-00002BE30000}"/>
    <cellStyle name="Обычный 12 5 2 2" xfId="58145" xr:uid="{00000000-0005-0000-0000-00002CE30000}"/>
    <cellStyle name="Обычный 12 5 2 3" xfId="58146" xr:uid="{00000000-0005-0000-0000-00002DE30000}"/>
    <cellStyle name="Обычный 12 5 3" xfId="58147" xr:uid="{00000000-0005-0000-0000-00002EE30000}"/>
    <cellStyle name="Обычный 12 5 3 2" xfId="58148" xr:uid="{00000000-0005-0000-0000-00002FE30000}"/>
    <cellStyle name="Обычный 12 5 3 3" xfId="58149" xr:uid="{00000000-0005-0000-0000-000030E30000}"/>
    <cellStyle name="Обычный 12 5 4" xfId="58150" xr:uid="{00000000-0005-0000-0000-000031E30000}"/>
    <cellStyle name="Обычный 12 5 5" xfId="58151" xr:uid="{00000000-0005-0000-0000-000032E30000}"/>
    <cellStyle name="Обычный 12 6" xfId="58152" xr:uid="{00000000-0005-0000-0000-000033E30000}"/>
    <cellStyle name="Обычный 12 6 2" xfId="58153" xr:uid="{00000000-0005-0000-0000-000034E30000}"/>
    <cellStyle name="Обычный 12 6 2 2" xfId="58154" xr:uid="{00000000-0005-0000-0000-000035E30000}"/>
    <cellStyle name="Обычный 12 6 2 3" xfId="58155" xr:uid="{00000000-0005-0000-0000-000036E30000}"/>
    <cellStyle name="Обычный 12 6 3" xfId="58156" xr:uid="{00000000-0005-0000-0000-000037E30000}"/>
    <cellStyle name="Обычный 12 6 3 2" xfId="58157" xr:uid="{00000000-0005-0000-0000-000038E30000}"/>
    <cellStyle name="Обычный 12 6 3 3" xfId="58158" xr:uid="{00000000-0005-0000-0000-000039E30000}"/>
    <cellStyle name="Обычный 12 6 4" xfId="58159" xr:uid="{00000000-0005-0000-0000-00003AE30000}"/>
    <cellStyle name="Обычный 12 6 5" xfId="58160" xr:uid="{00000000-0005-0000-0000-00003BE30000}"/>
    <cellStyle name="Обычный 12 7" xfId="58161" xr:uid="{00000000-0005-0000-0000-00003CE30000}"/>
    <cellStyle name="Обычный 12 7 2" xfId="58162" xr:uid="{00000000-0005-0000-0000-00003DE30000}"/>
    <cellStyle name="Обычный 12 7 2 2" xfId="58163" xr:uid="{00000000-0005-0000-0000-00003EE30000}"/>
    <cellStyle name="Обычный 12 7 2 3" xfId="58164" xr:uid="{00000000-0005-0000-0000-00003FE30000}"/>
    <cellStyle name="Обычный 12 7 3" xfId="58165" xr:uid="{00000000-0005-0000-0000-000040E30000}"/>
    <cellStyle name="Обычный 12 7 3 2" xfId="58166" xr:uid="{00000000-0005-0000-0000-000041E30000}"/>
    <cellStyle name="Обычный 12 7 3 3" xfId="58167" xr:uid="{00000000-0005-0000-0000-000042E30000}"/>
    <cellStyle name="Обычный 12 7 4" xfId="58168" xr:uid="{00000000-0005-0000-0000-000043E30000}"/>
    <cellStyle name="Обычный 12 7 5" xfId="58169" xr:uid="{00000000-0005-0000-0000-000044E30000}"/>
    <cellStyle name="Обычный 12 8" xfId="58170" xr:uid="{00000000-0005-0000-0000-000045E30000}"/>
    <cellStyle name="Обычный 12 8 2" xfId="58171" xr:uid="{00000000-0005-0000-0000-000046E30000}"/>
    <cellStyle name="Обычный 12 8 2 2" xfId="58172" xr:uid="{00000000-0005-0000-0000-000047E30000}"/>
    <cellStyle name="Обычный 12 8 2 3" xfId="58173" xr:uid="{00000000-0005-0000-0000-000048E30000}"/>
    <cellStyle name="Обычный 12 8 3" xfId="58174" xr:uid="{00000000-0005-0000-0000-000049E30000}"/>
    <cellStyle name="Обычный 12 8 3 2" xfId="58175" xr:uid="{00000000-0005-0000-0000-00004AE30000}"/>
    <cellStyle name="Обычный 12 8 3 3" xfId="58176" xr:uid="{00000000-0005-0000-0000-00004BE30000}"/>
    <cellStyle name="Обычный 12 8 4" xfId="58177" xr:uid="{00000000-0005-0000-0000-00004CE30000}"/>
    <cellStyle name="Обычный 12 8 5" xfId="58178" xr:uid="{00000000-0005-0000-0000-00004DE30000}"/>
    <cellStyle name="Обычный 12 9" xfId="58179" xr:uid="{00000000-0005-0000-0000-00004EE30000}"/>
    <cellStyle name="Обычный 12 9 2" xfId="58180" xr:uid="{00000000-0005-0000-0000-00004FE30000}"/>
    <cellStyle name="Обычный 12 9 2 2" xfId="58181" xr:uid="{00000000-0005-0000-0000-000050E30000}"/>
    <cellStyle name="Обычный 12 9 2 3" xfId="58182" xr:uid="{00000000-0005-0000-0000-000051E30000}"/>
    <cellStyle name="Обычный 12 9 3" xfId="58183" xr:uid="{00000000-0005-0000-0000-000052E30000}"/>
    <cellStyle name="Обычный 12 9 3 2" xfId="58184" xr:uid="{00000000-0005-0000-0000-000053E30000}"/>
    <cellStyle name="Обычный 12 9 3 3" xfId="58185" xr:uid="{00000000-0005-0000-0000-000054E30000}"/>
    <cellStyle name="Обычный 12 9 4" xfId="58186" xr:uid="{00000000-0005-0000-0000-000055E30000}"/>
    <cellStyle name="Обычный 12 9 5" xfId="58187" xr:uid="{00000000-0005-0000-0000-000056E30000}"/>
    <cellStyle name="Обычный 12_объемы 2018г111" xfId="58188" xr:uid="{00000000-0005-0000-0000-000057E30000}"/>
    <cellStyle name="Обычный 120" xfId="58189" xr:uid="{00000000-0005-0000-0000-000058E30000}"/>
    <cellStyle name="Обычный 121" xfId="58190" xr:uid="{00000000-0005-0000-0000-000059E30000}"/>
    <cellStyle name="Обычный 122" xfId="58191" xr:uid="{00000000-0005-0000-0000-00005AE30000}"/>
    <cellStyle name="Обычный 123" xfId="58192" xr:uid="{00000000-0005-0000-0000-00005BE30000}"/>
    <cellStyle name="Обычный 124" xfId="58193" xr:uid="{00000000-0005-0000-0000-00005CE30000}"/>
    <cellStyle name="Обычный 125" xfId="58194" xr:uid="{00000000-0005-0000-0000-00005DE30000}"/>
    <cellStyle name="Обычный 126" xfId="58195" xr:uid="{00000000-0005-0000-0000-00005EE30000}"/>
    <cellStyle name="Обычный 127" xfId="58196" xr:uid="{00000000-0005-0000-0000-00005FE30000}"/>
    <cellStyle name="Обычный 128" xfId="58197" xr:uid="{00000000-0005-0000-0000-000060E30000}"/>
    <cellStyle name="Обычный 129" xfId="58198" xr:uid="{00000000-0005-0000-0000-000061E30000}"/>
    <cellStyle name="Обычный 13" xfId="58199" xr:uid="{00000000-0005-0000-0000-000062E30000}"/>
    <cellStyle name="Обычный 13 10" xfId="58200" xr:uid="{00000000-0005-0000-0000-000063E30000}"/>
    <cellStyle name="Обычный 13 10 2" xfId="58201" xr:uid="{00000000-0005-0000-0000-000064E30000}"/>
    <cellStyle name="Обычный 13 10 2 2" xfId="58202" xr:uid="{00000000-0005-0000-0000-000065E30000}"/>
    <cellStyle name="Обычный 13 10 2 3" xfId="58203" xr:uid="{00000000-0005-0000-0000-000066E30000}"/>
    <cellStyle name="Обычный 13 10 3" xfId="58204" xr:uid="{00000000-0005-0000-0000-000067E30000}"/>
    <cellStyle name="Обычный 13 10 3 2" xfId="58205" xr:uid="{00000000-0005-0000-0000-000068E30000}"/>
    <cellStyle name="Обычный 13 10 3 3" xfId="58206" xr:uid="{00000000-0005-0000-0000-000069E30000}"/>
    <cellStyle name="Обычный 13 10 4" xfId="58207" xr:uid="{00000000-0005-0000-0000-00006AE30000}"/>
    <cellStyle name="Обычный 13 10 5" xfId="58208" xr:uid="{00000000-0005-0000-0000-00006BE30000}"/>
    <cellStyle name="Обычный 13 11" xfId="58209" xr:uid="{00000000-0005-0000-0000-00006CE30000}"/>
    <cellStyle name="Обычный 13 11 2" xfId="58210" xr:uid="{00000000-0005-0000-0000-00006DE30000}"/>
    <cellStyle name="Обычный 13 11 2 2" xfId="58211" xr:uid="{00000000-0005-0000-0000-00006EE30000}"/>
    <cellStyle name="Обычный 13 11 2 3" xfId="58212" xr:uid="{00000000-0005-0000-0000-00006FE30000}"/>
    <cellStyle name="Обычный 13 11 3" xfId="58213" xr:uid="{00000000-0005-0000-0000-000070E30000}"/>
    <cellStyle name="Обычный 13 11 3 2" xfId="58214" xr:uid="{00000000-0005-0000-0000-000071E30000}"/>
    <cellStyle name="Обычный 13 11 3 3" xfId="58215" xr:uid="{00000000-0005-0000-0000-000072E30000}"/>
    <cellStyle name="Обычный 13 11 4" xfId="58216" xr:uid="{00000000-0005-0000-0000-000073E30000}"/>
    <cellStyle name="Обычный 13 11 5" xfId="58217" xr:uid="{00000000-0005-0000-0000-000074E30000}"/>
    <cellStyle name="Обычный 13 12" xfId="58218" xr:uid="{00000000-0005-0000-0000-000075E30000}"/>
    <cellStyle name="Обычный 13 12 2" xfId="58219" xr:uid="{00000000-0005-0000-0000-000076E30000}"/>
    <cellStyle name="Обычный 13 12 2 2" xfId="58220" xr:uid="{00000000-0005-0000-0000-000077E30000}"/>
    <cellStyle name="Обычный 13 12 2 3" xfId="58221" xr:uid="{00000000-0005-0000-0000-000078E30000}"/>
    <cellStyle name="Обычный 13 12 3" xfId="58222" xr:uid="{00000000-0005-0000-0000-000079E30000}"/>
    <cellStyle name="Обычный 13 12 3 2" xfId="58223" xr:uid="{00000000-0005-0000-0000-00007AE30000}"/>
    <cellStyle name="Обычный 13 12 3 3" xfId="58224" xr:uid="{00000000-0005-0000-0000-00007BE30000}"/>
    <cellStyle name="Обычный 13 12 4" xfId="58225" xr:uid="{00000000-0005-0000-0000-00007CE30000}"/>
    <cellStyle name="Обычный 13 12 5" xfId="58226" xr:uid="{00000000-0005-0000-0000-00007DE30000}"/>
    <cellStyle name="Обычный 13 13" xfId="58227" xr:uid="{00000000-0005-0000-0000-00007EE30000}"/>
    <cellStyle name="Обычный 13 13 2" xfId="58228" xr:uid="{00000000-0005-0000-0000-00007FE30000}"/>
    <cellStyle name="Обычный 13 13 2 2" xfId="58229" xr:uid="{00000000-0005-0000-0000-000080E30000}"/>
    <cellStyle name="Обычный 13 13 2 3" xfId="58230" xr:uid="{00000000-0005-0000-0000-000081E30000}"/>
    <cellStyle name="Обычный 13 13 3" xfId="58231" xr:uid="{00000000-0005-0000-0000-000082E30000}"/>
    <cellStyle name="Обычный 13 13 3 2" xfId="58232" xr:uid="{00000000-0005-0000-0000-000083E30000}"/>
    <cellStyle name="Обычный 13 13 3 3" xfId="58233" xr:uid="{00000000-0005-0000-0000-000084E30000}"/>
    <cellStyle name="Обычный 13 13 4" xfId="58234" xr:uid="{00000000-0005-0000-0000-000085E30000}"/>
    <cellStyle name="Обычный 13 13 5" xfId="58235" xr:uid="{00000000-0005-0000-0000-000086E30000}"/>
    <cellStyle name="Обычный 13 14" xfId="58236" xr:uid="{00000000-0005-0000-0000-000087E30000}"/>
    <cellStyle name="Обычный 13 14 2" xfId="58237" xr:uid="{00000000-0005-0000-0000-000088E30000}"/>
    <cellStyle name="Обычный 13 14 2 2" xfId="58238" xr:uid="{00000000-0005-0000-0000-000089E30000}"/>
    <cellStyle name="Обычный 13 14 2 3" xfId="58239" xr:uid="{00000000-0005-0000-0000-00008AE30000}"/>
    <cellStyle name="Обычный 13 14 3" xfId="58240" xr:uid="{00000000-0005-0000-0000-00008BE30000}"/>
    <cellStyle name="Обычный 13 14 3 2" xfId="58241" xr:uid="{00000000-0005-0000-0000-00008CE30000}"/>
    <cellStyle name="Обычный 13 14 3 3" xfId="58242" xr:uid="{00000000-0005-0000-0000-00008DE30000}"/>
    <cellStyle name="Обычный 13 14 4" xfId="58243" xr:uid="{00000000-0005-0000-0000-00008EE30000}"/>
    <cellStyle name="Обычный 13 14 5" xfId="58244" xr:uid="{00000000-0005-0000-0000-00008FE30000}"/>
    <cellStyle name="Обычный 13 15" xfId="58245" xr:uid="{00000000-0005-0000-0000-000090E30000}"/>
    <cellStyle name="Обычный 13 15 2" xfId="58246" xr:uid="{00000000-0005-0000-0000-000091E30000}"/>
    <cellStyle name="Обычный 13 15 2 2" xfId="58247" xr:uid="{00000000-0005-0000-0000-000092E30000}"/>
    <cellStyle name="Обычный 13 15 2 3" xfId="58248" xr:uid="{00000000-0005-0000-0000-000093E30000}"/>
    <cellStyle name="Обычный 13 15 3" xfId="58249" xr:uid="{00000000-0005-0000-0000-000094E30000}"/>
    <cellStyle name="Обычный 13 15 3 2" xfId="58250" xr:uid="{00000000-0005-0000-0000-000095E30000}"/>
    <cellStyle name="Обычный 13 15 3 3" xfId="58251" xr:uid="{00000000-0005-0000-0000-000096E30000}"/>
    <cellStyle name="Обычный 13 15 4" xfId="58252" xr:uid="{00000000-0005-0000-0000-000097E30000}"/>
    <cellStyle name="Обычный 13 15 5" xfId="58253" xr:uid="{00000000-0005-0000-0000-000098E30000}"/>
    <cellStyle name="Обычный 13 16" xfId="58254" xr:uid="{00000000-0005-0000-0000-000099E30000}"/>
    <cellStyle name="Обычный 13 16 2" xfId="58255" xr:uid="{00000000-0005-0000-0000-00009AE30000}"/>
    <cellStyle name="Обычный 13 16 2 2" xfId="58256" xr:uid="{00000000-0005-0000-0000-00009BE30000}"/>
    <cellStyle name="Обычный 13 16 2 3" xfId="58257" xr:uid="{00000000-0005-0000-0000-00009CE30000}"/>
    <cellStyle name="Обычный 13 16 3" xfId="58258" xr:uid="{00000000-0005-0000-0000-00009DE30000}"/>
    <cellStyle name="Обычный 13 16 3 2" xfId="58259" xr:uid="{00000000-0005-0000-0000-00009EE30000}"/>
    <cellStyle name="Обычный 13 16 3 3" xfId="58260" xr:uid="{00000000-0005-0000-0000-00009FE30000}"/>
    <cellStyle name="Обычный 13 16 4" xfId="58261" xr:uid="{00000000-0005-0000-0000-0000A0E30000}"/>
    <cellStyle name="Обычный 13 16 5" xfId="58262" xr:uid="{00000000-0005-0000-0000-0000A1E30000}"/>
    <cellStyle name="Обычный 13 17" xfId="58263" xr:uid="{00000000-0005-0000-0000-0000A2E30000}"/>
    <cellStyle name="Обычный 13 17 2" xfId="58264" xr:uid="{00000000-0005-0000-0000-0000A3E30000}"/>
    <cellStyle name="Обычный 13 17 3" xfId="58265" xr:uid="{00000000-0005-0000-0000-0000A4E30000}"/>
    <cellStyle name="Обычный 13 18" xfId="58266" xr:uid="{00000000-0005-0000-0000-0000A5E30000}"/>
    <cellStyle name="Обычный 13 18 2" xfId="58267" xr:uid="{00000000-0005-0000-0000-0000A6E30000}"/>
    <cellStyle name="Обычный 13 18 3" xfId="58268" xr:uid="{00000000-0005-0000-0000-0000A7E30000}"/>
    <cellStyle name="Обычный 13 19" xfId="58269" xr:uid="{00000000-0005-0000-0000-0000A8E30000}"/>
    <cellStyle name="Обычный 13 2" xfId="58270" xr:uid="{00000000-0005-0000-0000-0000A9E30000}"/>
    <cellStyle name="Обычный 13 2 2" xfId="58271" xr:uid="{00000000-0005-0000-0000-0000AAE30000}"/>
    <cellStyle name="Обычный 13 2 2 2" xfId="58272" xr:uid="{00000000-0005-0000-0000-0000ABE30000}"/>
    <cellStyle name="Обычный 13 2 2 2 2" xfId="58273" xr:uid="{00000000-0005-0000-0000-0000ACE30000}"/>
    <cellStyle name="Обычный 13 2 2 2 2 2" xfId="58274" xr:uid="{00000000-0005-0000-0000-0000ADE30000}"/>
    <cellStyle name="Обычный 13 2 2 2 2 3" xfId="58275" xr:uid="{00000000-0005-0000-0000-0000AEE30000}"/>
    <cellStyle name="Обычный 13 2 2 2 3" xfId="58276" xr:uid="{00000000-0005-0000-0000-0000AFE30000}"/>
    <cellStyle name="Обычный 13 2 2 2 3 2" xfId="58277" xr:uid="{00000000-0005-0000-0000-0000B0E30000}"/>
    <cellStyle name="Обычный 13 2 2 2 3 3" xfId="58278" xr:uid="{00000000-0005-0000-0000-0000B1E30000}"/>
    <cellStyle name="Обычный 13 2 2 2 4" xfId="58279" xr:uid="{00000000-0005-0000-0000-0000B2E30000}"/>
    <cellStyle name="Обычный 13 2 2 2 5" xfId="58280" xr:uid="{00000000-0005-0000-0000-0000B3E30000}"/>
    <cellStyle name="Обычный 13 2 2 3" xfId="58281" xr:uid="{00000000-0005-0000-0000-0000B4E30000}"/>
    <cellStyle name="Обычный 13 2 2 3 2" xfId="58282" xr:uid="{00000000-0005-0000-0000-0000B5E30000}"/>
    <cellStyle name="Обычный 13 2 2 3 3" xfId="58283" xr:uid="{00000000-0005-0000-0000-0000B6E30000}"/>
    <cellStyle name="Обычный 13 2 2 4" xfId="58284" xr:uid="{00000000-0005-0000-0000-0000B7E30000}"/>
    <cellStyle name="Обычный 13 2 2 4 2" xfId="58285" xr:uid="{00000000-0005-0000-0000-0000B8E30000}"/>
    <cellStyle name="Обычный 13 2 2 4 3" xfId="58286" xr:uid="{00000000-0005-0000-0000-0000B9E30000}"/>
    <cellStyle name="Обычный 13 2 2 5" xfId="58287" xr:uid="{00000000-0005-0000-0000-0000BAE30000}"/>
    <cellStyle name="Обычный 13 2 2 6" xfId="58288" xr:uid="{00000000-0005-0000-0000-0000BBE30000}"/>
    <cellStyle name="Обычный 13 2 2_объемы 2018г111" xfId="58289" xr:uid="{00000000-0005-0000-0000-0000BCE30000}"/>
    <cellStyle name="Обычный 13 2 3" xfId="58290" xr:uid="{00000000-0005-0000-0000-0000BDE30000}"/>
    <cellStyle name="Обычный 13 2 3 2" xfId="58291" xr:uid="{00000000-0005-0000-0000-0000BEE30000}"/>
    <cellStyle name="Обычный 13 2 3 2 2" xfId="58292" xr:uid="{00000000-0005-0000-0000-0000BFE30000}"/>
    <cellStyle name="Обычный 13 2 3 2 3" xfId="58293" xr:uid="{00000000-0005-0000-0000-0000C0E30000}"/>
    <cellStyle name="Обычный 13 2 3 3" xfId="58294" xr:uid="{00000000-0005-0000-0000-0000C1E30000}"/>
    <cellStyle name="Обычный 13 2 3 3 2" xfId="58295" xr:uid="{00000000-0005-0000-0000-0000C2E30000}"/>
    <cellStyle name="Обычный 13 2 3 3 3" xfId="58296" xr:uid="{00000000-0005-0000-0000-0000C3E30000}"/>
    <cellStyle name="Обычный 13 2 3 4" xfId="58297" xr:uid="{00000000-0005-0000-0000-0000C4E30000}"/>
    <cellStyle name="Обычный 13 2 3 5" xfId="58298" xr:uid="{00000000-0005-0000-0000-0000C5E30000}"/>
    <cellStyle name="Обычный 13 2 4" xfId="58299" xr:uid="{00000000-0005-0000-0000-0000C6E30000}"/>
    <cellStyle name="Обычный 13 2 4 2" xfId="58300" xr:uid="{00000000-0005-0000-0000-0000C7E30000}"/>
    <cellStyle name="Обычный 13 2 4 3" xfId="58301" xr:uid="{00000000-0005-0000-0000-0000C8E30000}"/>
    <cellStyle name="Обычный 13 2 5" xfId="58302" xr:uid="{00000000-0005-0000-0000-0000C9E30000}"/>
    <cellStyle name="Обычный 13 2 5 2" xfId="58303" xr:uid="{00000000-0005-0000-0000-0000CAE30000}"/>
    <cellStyle name="Обычный 13 2 5 3" xfId="58304" xr:uid="{00000000-0005-0000-0000-0000CBE30000}"/>
    <cellStyle name="Обычный 13 2 6" xfId="58305" xr:uid="{00000000-0005-0000-0000-0000CCE30000}"/>
    <cellStyle name="Обычный 13 2 7" xfId="58306" xr:uid="{00000000-0005-0000-0000-0000CDE30000}"/>
    <cellStyle name="Обычный 13 2_объемы 2018г111" xfId="58307" xr:uid="{00000000-0005-0000-0000-0000CEE30000}"/>
    <cellStyle name="Обычный 13 20" xfId="58308" xr:uid="{00000000-0005-0000-0000-0000CFE30000}"/>
    <cellStyle name="Обычный 13 3" xfId="58309" xr:uid="{00000000-0005-0000-0000-0000D0E30000}"/>
    <cellStyle name="Обычный 13 3 2" xfId="58310" xr:uid="{00000000-0005-0000-0000-0000D1E30000}"/>
    <cellStyle name="Обычный 13 3 2 2" xfId="58311" xr:uid="{00000000-0005-0000-0000-0000D2E30000}"/>
    <cellStyle name="Обычный 13 3 2 2 2" xfId="58312" xr:uid="{00000000-0005-0000-0000-0000D3E30000}"/>
    <cellStyle name="Обычный 13 3 2 2 3" xfId="58313" xr:uid="{00000000-0005-0000-0000-0000D4E30000}"/>
    <cellStyle name="Обычный 13 3 2 3" xfId="58314" xr:uid="{00000000-0005-0000-0000-0000D5E30000}"/>
    <cellStyle name="Обычный 13 3 2 3 2" xfId="58315" xr:uid="{00000000-0005-0000-0000-0000D6E30000}"/>
    <cellStyle name="Обычный 13 3 2 3 3" xfId="58316" xr:uid="{00000000-0005-0000-0000-0000D7E30000}"/>
    <cellStyle name="Обычный 13 3 2 4" xfId="58317" xr:uid="{00000000-0005-0000-0000-0000D8E30000}"/>
    <cellStyle name="Обычный 13 3 2 5" xfId="58318" xr:uid="{00000000-0005-0000-0000-0000D9E30000}"/>
    <cellStyle name="Обычный 13 3 3" xfId="58319" xr:uid="{00000000-0005-0000-0000-0000DAE30000}"/>
    <cellStyle name="Обычный 13 3 3 2" xfId="58320" xr:uid="{00000000-0005-0000-0000-0000DBE30000}"/>
    <cellStyle name="Обычный 13 3 3 3" xfId="58321" xr:uid="{00000000-0005-0000-0000-0000DCE30000}"/>
    <cellStyle name="Обычный 13 3 4" xfId="58322" xr:uid="{00000000-0005-0000-0000-0000DDE30000}"/>
    <cellStyle name="Обычный 13 3 4 2" xfId="58323" xr:uid="{00000000-0005-0000-0000-0000DEE30000}"/>
    <cellStyle name="Обычный 13 3 4 3" xfId="58324" xr:uid="{00000000-0005-0000-0000-0000DFE30000}"/>
    <cellStyle name="Обычный 13 3 5" xfId="58325" xr:uid="{00000000-0005-0000-0000-0000E0E30000}"/>
    <cellStyle name="Обычный 13 3 6" xfId="58326" xr:uid="{00000000-0005-0000-0000-0000E1E30000}"/>
    <cellStyle name="Обычный 13 3_объемы 2018г111" xfId="58327" xr:uid="{00000000-0005-0000-0000-0000E2E30000}"/>
    <cellStyle name="Обычный 13 4" xfId="58328" xr:uid="{00000000-0005-0000-0000-0000E3E30000}"/>
    <cellStyle name="Обычный 13 4 2" xfId="58329" xr:uid="{00000000-0005-0000-0000-0000E4E30000}"/>
    <cellStyle name="Обычный 13 4 2 2" xfId="58330" xr:uid="{00000000-0005-0000-0000-0000E5E30000}"/>
    <cellStyle name="Обычный 13 4 2 3" xfId="58331" xr:uid="{00000000-0005-0000-0000-0000E6E30000}"/>
    <cellStyle name="Обычный 13 4 3" xfId="58332" xr:uid="{00000000-0005-0000-0000-0000E7E30000}"/>
    <cellStyle name="Обычный 13 4 3 2" xfId="58333" xr:uid="{00000000-0005-0000-0000-0000E8E30000}"/>
    <cellStyle name="Обычный 13 4 3 3" xfId="58334" xr:uid="{00000000-0005-0000-0000-0000E9E30000}"/>
    <cellStyle name="Обычный 13 4 4" xfId="58335" xr:uid="{00000000-0005-0000-0000-0000EAE30000}"/>
    <cellStyle name="Обычный 13 4 5" xfId="58336" xr:uid="{00000000-0005-0000-0000-0000EBE30000}"/>
    <cellStyle name="Обычный 13 5" xfId="58337" xr:uid="{00000000-0005-0000-0000-0000ECE30000}"/>
    <cellStyle name="Обычный 13 5 2" xfId="58338" xr:uid="{00000000-0005-0000-0000-0000EDE30000}"/>
    <cellStyle name="Обычный 13 5 2 2" xfId="58339" xr:uid="{00000000-0005-0000-0000-0000EEE30000}"/>
    <cellStyle name="Обычный 13 5 2 3" xfId="58340" xr:uid="{00000000-0005-0000-0000-0000EFE30000}"/>
    <cellStyle name="Обычный 13 5 3" xfId="58341" xr:uid="{00000000-0005-0000-0000-0000F0E30000}"/>
    <cellStyle name="Обычный 13 5 3 2" xfId="58342" xr:uid="{00000000-0005-0000-0000-0000F1E30000}"/>
    <cellStyle name="Обычный 13 5 3 3" xfId="58343" xr:uid="{00000000-0005-0000-0000-0000F2E30000}"/>
    <cellStyle name="Обычный 13 5 4" xfId="58344" xr:uid="{00000000-0005-0000-0000-0000F3E30000}"/>
    <cellStyle name="Обычный 13 5 5" xfId="58345" xr:uid="{00000000-0005-0000-0000-0000F4E30000}"/>
    <cellStyle name="Обычный 13 6" xfId="58346" xr:uid="{00000000-0005-0000-0000-0000F5E30000}"/>
    <cellStyle name="Обычный 13 6 2" xfId="58347" xr:uid="{00000000-0005-0000-0000-0000F6E30000}"/>
    <cellStyle name="Обычный 13 6 2 2" xfId="58348" xr:uid="{00000000-0005-0000-0000-0000F7E30000}"/>
    <cellStyle name="Обычный 13 6 2 3" xfId="58349" xr:uid="{00000000-0005-0000-0000-0000F8E30000}"/>
    <cellStyle name="Обычный 13 6 3" xfId="58350" xr:uid="{00000000-0005-0000-0000-0000F9E30000}"/>
    <cellStyle name="Обычный 13 6 3 2" xfId="58351" xr:uid="{00000000-0005-0000-0000-0000FAE30000}"/>
    <cellStyle name="Обычный 13 6 3 3" xfId="58352" xr:uid="{00000000-0005-0000-0000-0000FBE30000}"/>
    <cellStyle name="Обычный 13 6 4" xfId="58353" xr:uid="{00000000-0005-0000-0000-0000FCE30000}"/>
    <cellStyle name="Обычный 13 6 5" xfId="58354" xr:uid="{00000000-0005-0000-0000-0000FDE30000}"/>
    <cellStyle name="Обычный 13 7" xfId="58355" xr:uid="{00000000-0005-0000-0000-0000FEE30000}"/>
    <cellStyle name="Обычный 13 7 2" xfId="58356" xr:uid="{00000000-0005-0000-0000-0000FFE30000}"/>
    <cellStyle name="Обычный 13 7 2 2" xfId="58357" xr:uid="{00000000-0005-0000-0000-000000E40000}"/>
    <cellStyle name="Обычный 13 7 2 3" xfId="58358" xr:uid="{00000000-0005-0000-0000-000001E40000}"/>
    <cellStyle name="Обычный 13 7 3" xfId="58359" xr:uid="{00000000-0005-0000-0000-000002E40000}"/>
    <cellStyle name="Обычный 13 7 3 2" xfId="58360" xr:uid="{00000000-0005-0000-0000-000003E40000}"/>
    <cellStyle name="Обычный 13 7 3 3" xfId="58361" xr:uid="{00000000-0005-0000-0000-000004E40000}"/>
    <cellStyle name="Обычный 13 7 4" xfId="58362" xr:uid="{00000000-0005-0000-0000-000005E40000}"/>
    <cellStyle name="Обычный 13 7 5" xfId="58363" xr:uid="{00000000-0005-0000-0000-000006E40000}"/>
    <cellStyle name="Обычный 13 8" xfId="58364" xr:uid="{00000000-0005-0000-0000-000007E40000}"/>
    <cellStyle name="Обычный 13 8 2" xfId="58365" xr:uid="{00000000-0005-0000-0000-000008E40000}"/>
    <cellStyle name="Обычный 13 8 2 2" xfId="58366" xr:uid="{00000000-0005-0000-0000-000009E40000}"/>
    <cellStyle name="Обычный 13 8 2 3" xfId="58367" xr:uid="{00000000-0005-0000-0000-00000AE40000}"/>
    <cellStyle name="Обычный 13 8 3" xfId="58368" xr:uid="{00000000-0005-0000-0000-00000BE40000}"/>
    <cellStyle name="Обычный 13 8 3 2" xfId="58369" xr:uid="{00000000-0005-0000-0000-00000CE40000}"/>
    <cellStyle name="Обычный 13 8 3 3" xfId="58370" xr:uid="{00000000-0005-0000-0000-00000DE40000}"/>
    <cellStyle name="Обычный 13 8 4" xfId="58371" xr:uid="{00000000-0005-0000-0000-00000EE40000}"/>
    <cellStyle name="Обычный 13 8 5" xfId="58372" xr:uid="{00000000-0005-0000-0000-00000FE40000}"/>
    <cellStyle name="Обычный 13 9" xfId="58373" xr:uid="{00000000-0005-0000-0000-000010E40000}"/>
    <cellStyle name="Обычный 13 9 2" xfId="58374" xr:uid="{00000000-0005-0000-0000-000011E40000}"/>
    <cellStyle name="Обычный 13 9 2 2" xfId="58375" xr:uid="{00000000-0005-0000-0000-000012E40000}"/>
    <cellStyle name="Обычный 13 9 2 3" xfId="58376" xr:uid="{00000000-0005-0000-0000-000013E40000}"/>
    <cellStyle name="Обычный 13 9 3" xfId="58377" xr:uid="{00000000-0005-0000-0000-000014E40000}"/>
    <cellStyle name="Обычный 13 9 3 2" xfId="58378" xr:uid="{00000000-0005-0000-0000-000015E40000}"/>
    <cellStyle name="Обычный 13 9 3 3" xfId="58379" xr:uid="{00000000-0005-0000-0000-000016E40000}"/>
    <cellStyle name="Обычный 13 9 4" xfId="58380" xr:uid="{00000000-0005-0000-0000-000017E40000}"/>
    <cellStyle name="Обычный 13 9 5" xfId="58381" xr:uid="{00000000-0005-0000-0000-000018E40000}"/>
    <cellStyle name="Обычный 13_объемы 2018г111" xfId="58382" xr:uid="{00000000-0005-0000-0000-000019E40000}"/>
    <cellStyle name="Обычный 130" xfId="58383" xr:uid="{00000000-0005-0000-0000-00001AE40000}"/>
    <cellStyle name="Обычный 131" xfId="58384" xr:uid="{00000000-0005-0000-0000-00001BE40000}"/>
    <cellStyle name="Обычный 132" xfId="58385" xr:uid="{00000000-0005-0000-0000-00001CE40000}"/>
    <cellStyle name="Обычный 133" xfId="58386" xr:uid="{00000000-0005-0000-0000-00001DE40000}"/>
    <cellStyle name="Обычный 134" xfId="58387" xr:uid="{00000000-0005-0000-0000-00001EE40000}"/>
    <cellStyle name="Обычный 135" xfId="58388" xr:uid="{00000000-0005-0000-0000-00001FE40000}"/>
    <cellStyle name="Обычный 136" xfId="58389" xr:uid="{00000000-0005-0000-0000-000020E40000}"/>
    <cellStyle name="Обычный 137" xfId="58390" xr:uid="{00000000-0005-0000-0000-000021E40000}"/>
    <cellStyle name="Обычный 138" xfId="58391" xr:uid="{00000000-0005-0000-0000-000022E40000}"/>
    <cellStyle name="Обычный 139" xfId="58392" xr:uid="{00000000-0005-0000-0000-000023E40000}"/>
    <cellStyle name="Обычный 14" xfId="58393" xr:uid="{00000000-0005-0000-0000-000024E40000}"/>
    <cellStyle name="Обычный 14 10" xfId="58394" xr:uid="{00000000-0005-0000-0000-000025E40000}"/>
    <cellStyle name="Обычный 14 10 2" xfId="58395" xr:uid="{00000000-0005-0000-0000-000026E40000}"/>
    <cellStyle name="Обычный 14 10 2 2" xfId="58396" xr:uid="{00000000-0005-0000-0000-000027E40000}"/>
    <cellStyle name="Обычный 14 10 2 3" xfId="58397" xr:uid="{00000000-0005-0000-0000-000028E40000}"/>
    <cellStyle name="Обычный 14 10 3" xfId="58398" xr:uid="{00000000-0005-0000-0000-000029E40000}"/>
    <cellStyle name="Обычный 14 10 3 2" xfId="58399" xr:uid="{00000000-0005-0000-0000-00002AE40000}"/>
    <cellStyle name="Обычный 14 10 3 3" xfId="58400" xr:uid="{00000000-0005-0000-0000-00002BE40000}"/>
    <cellStyle name="Обычный 14 10 4" xfId="58401" xr:uid="{00000000-0005-0000-0000-00002CE40000}"/>
    <cellStyle name="Обычный 14 10 5" xfId="58402" xr:uid="{00000000-0005-0000-0000-00002DE40000}"/>
    <cellStyle name="Обычный 14 11" xfId="58403" xr:uid="{00000000-0005-0000-0000-00002EE40000}"/>
    <cellStyle name="Обычный 14 11 2" xfId="58404" xr:uid="{00000000-0005-0000-0000-00002FE40000}"/>
    <cellStyle name="Обычный 14 11 2 2" xfId="58405" xr:uid="{00000000-0005-0000-0000-000030E40000}"/>
    <cellStyle name="Обычный 14 11 2 3" xfId="58406" xr:uid="{00000000-0005-0000-0000-000031E40000}"/>
    <cellStyle name="Обычный 14 11 3" xfId="58407" xr:uid="{00000000-0005-0000-0000-000032E40000}"/>
    <cellStyle name="Обычный 14 11 3 2" xfId="58408" xr:uid="{00000000-0005-0000-0000-000033E40000}"/>
    <cellStyle name="Обычный 14 11 3 3" xfId="58409" xr:uid="{00000000-0005-0000-0000-000034E40000}"/>
    <cellStyle name="Обычный 14 11 4" xfId="58410" xr:uid="{00000000-0005-0000-0000-000035E40000}"/>
    <cellStyle name="Обычный 14 11 5" xfId="58411" xr:uid="{00000000-0005-0000-0000-000036E40000}"/>
    <cellStyle name="Обычный 14 12" xfId="58412" xr:uid="{00000000-0005-0000-0000-000037E40000}"/>
    <cellStyle name="Обычный 14 12 2" xfId="58413" xr:uid="{00000000-0005-0000-0000-000038E40000}"/>
    <cellStyle name="Обычный 14 12 2 2" xfId="58414" xr:uid="{00000000-0005-0000-0000-000039E40000}"/>
    <cellStyle name="Обычный 14 12 2 3" xfId="58415" xr:uid="{00000000-0005-0000-0000-00003AE40000}"/>
    <cellStyle name="Обычный 14 12 3" xfId="58416" xr:uid="{00000000-0005-0000-0000-00003BE40000}"/>
    <cellStyle name="Обычный 14 12 3 2" xfId="58417" xr:uid="{00000000-0005-0000-0000-00003CE40000}"/>
    <cellStyle name="Обычный 14 12 3 3" xfId="58418" xr:uid="{00000000-0005-0000-0000-00003DE40000}"/>
    <cellStyle name="Обычный 14 12 4" xfId="58419" xr:uid="{00000000-0005-0000-0000-00003EE40000}"/>
    <cellStyle name="Обычный 14 12 5" xfId="58420" xr:uid="{00000000-0005-0000-0000-00003FE40000}"/>
    <cellStyle name="Обычный 14 13" xfId="58421" xr:uid="{00000000-0005-0000-0000-000040E40000}"/>
    <cellStyle name="Обычный 14 13 2" xfId="58422" xr:uid="{00000000-0005-0000-0000-000041E40000}"/>
    <cellStyle name="Обычный 14 13 2 2" xfId="58423" xr:uid="{00000000-0005-0000-0000-000042E40000}"/>
    <cellStyle name="Обычный 14 13 2 3" xfId="58424" xr:uid="{00000000-0005-0000-0000-000043E40000}"/>
    <cellStyle name="Обычный 14 13 3" xfId="58425" xr:uid="{00000000-0005-0000-0000-000044E40000}"/>
    <cellStyle name="Обычный 14 13 3 2" xfId="58426" xr:uid="{00000000-0005-0000-0000-000045E40000}"/>
    <cellStyle name="Обычный 14 13 3 3" xfId="58427" xr:uid="{00000000-0005-0000-0000-000046E40000}"/>
    <cellStyle name="Обычный 14 13 4" xfId="58428" xr:uid="{00000000-0005-0000-0000-000047E40000}"/>
    <cellStyle name="Обычный 14 13 5" xfId="58429" xr:uid="{00000000-0005-0000-0000-000048E40000}"/>
    <cellStyle name="Обычный 14 14" xfId="58430" xr:uid="{00000000-0005-0000-0000-000049E40000}"/>
    <cellStyle name="Обычный 14 14 2" xfId="58431" xr:uid="{00000000-0005-0000-0000-00004AE40000}"/>
    <cellStyle name="Обычный 14 14 2 2" xfId="58432" xr:uid="{00000000-0005-0000-0000-00004BE40000}"/>
    <cellStyle name="Обычный 14 14 2 3" xfId="58433" xr:uid="{00000000-0005-0000-0000-00004CE40000}"/>
    <cellStyle name="Обычный 14 14 3" xfId="58434" xr:uid="{00000000-0005-0000-0000-00004DE40000}"/>
    <cellStyle name="Обычный 14 14 3 2" xfId="58435" xr:uid="{00000000-0005-0000-0000-00004EE40000}"/>
    <cellStyle name="Обычный 14 14 3 3" xfId="58436" xr:uid="{00000000-0005-0000-0000-00004FE40000}"/>
    <cellStyle name="Обычный 14 14 4" xfId="58437" xr:uid="{00000000-0005-0000-0000-000050E40000}"/>
    <cellStyle name="Обычный 14 14 5" xfId="58438" xr:uid="{00000000-0005-0000-0000-000051E40000}"/>
    <cellStyle name="Обычный 14 15" xfId="58439" xr:uid="{00000000-0005-0000-0000-000052E40000}"/>
    <cellStyle name="Обычный 14 15 2" xfId="58440" xr:uid="{00000000-0005-0000-0000-000053E40000}"/>
    <cellStyle name="Обычный 14 15 2 2" xfId="58441" xr:uid="{00000000-0005-0000-0000-000054E40000}"/>
    <cellStyle name="Обычный 14 15 2 3" xfId="58442" xr:uid="{00000000-0005-0000-0000-000055E40000}"/>
    <cellStyle name="Обычный 14 15 3" xfId="58443" xr:uid="{00000000-0005-0000-0000-000056E40000}"/>
    <cellStyle name="Обычный 14 15 3 2" xfId="58444" xr:uid="{00000000-0005-0000-0000-000057E40000}"/>
    <cellStyle name="Обычный 14 15 3 3" xfId="58445" xr:uid="{00000000-0005-0000-0000-000058E40000}"/>
    <cellStyle name="Обычный 14 15 4" xfId="58446" xr:uid="{00000000-0005-0000-0000-000059E40000}"/>
    <cellStyle name="Обычный 14 15 5" xfId="58447" xr:uid="{00000000-0005-0000-0000-00005AE40000}"/>
    <cellStyle name="Обычный 14 16" xfId="58448" xr:uid="{00000000-0005-0000-0000-00005BE40000}"/>
    <cellStyle name="Обычный 14 16 2" xfId="58449" xr:uid="{00000000-0005-0000-0000-00005CE40000}"/>
    <cellStyle name="Обычный 14 16 2 2" xfId="58450" xr:uid="{00000000-0005-0000-0000-00005DE40000}"/>
    <cellStyle name="Обычный 14 16 2 3" xfId="58451" xr:uid="{00000000-0005-0000-0000-00005EE40000}"/>
    <cellStyle name="Обычный 14 16 3" xfId="58452" xr:uid="{00000000-0005-0000-0000-00005FE40000}"/>
    <cellStyle name="Обычный 14 16 3 2" xfId="58453" xr:uid="{00000000-0005-0000-0000-000060E40000}"/>
    <cellStyle name="Обычный 14 16 3 3" xfId="58454" xr:uid="{00000000-0005-0000-0000-000061E40000}"/>
    <cellStyle name="Обычный 14 16 4" xfId="58455" xr:uid="{00000000-0005-0000-0000-000062E40000}"/>
    <cellStyle name="Обычный 14 16 5" xfId="58456" xr:uid="{00000000-0005-0000-0000-000063E40000}"/>
    <cellStyle name="Обычный 14 17" xfId="58457" xr:uid="{00000000-0005-0000-0000-000064E40000}"/>
    <cellStyle name="Обычный 14 17 2" xfId="58458" xr:uid="{00000000-0005-0000-0000-000065E40000}"/>
    <cellStyle name="Обычный 14 17 3" xfId="58459" xr:uid="{00000000-0005-0000-0000-000066E40000}"/>
    <cellStyle name="Обычный 14 18" xfId="58460" xr:uid="{00000000-0005-0000-0000-000067E40000}"/>
    <cellStyle name="Обычный 14 18 2" xfId="58461" xr:uid="{00000000-0005-0000-0000-000068E40000}"/>
    <cellStyle name="Обычный 14 18 3" xfId="58462" xr:uid="{00000000-0005-0000-0000-000069E40000}"/>
    <cellStyle name="Обычный 14 19" xfId="58463" xr:uid="{00000000-0005-0000-0000-00006AE40000}"/>
    <cellStyle name="Обычный 14 2" xfId="58464" xr:uid="{00000000-0005-0000-0000-00006BE40000}"/>
    <cellStyle name="Обычный 14 2 2" xfId="58465" xr:uid="{00000000-0005-0000-0000-00006CE40000}"/>
    <cellStyle name="Обычный 14 2 2 2" xfId="58466" xr:uid="{00000000-0005-0000-0000-00006DE40000}"/>
    <cellStyle name="Обычный 14 2 2 2 2" xfId="58467" xr:uid="{00000000-0005-0000-0000-00006EE40000}"/>
    <cellStyle name="Обычный 14 2 2 2 2 2" xfId="58468" xr:uid="{00000000-0005-0000-0000-00006FE40000}"/>
    <cellStyle name="Обычный 14 2 2 2 2 3" xfId="58469" xr:uid="{00000000-0005-0000-0000-000070E40000}"/>
    <cellStyle name="Обычный 14 2 2 2 3" xfId="58470" xr:uid="{00000000-0005-0000-0000-000071E40000}"/>
    <cellStyle name="Обычный 14 2 2 2 3 2" xfId="58471" xr:uid="{00000000-0005-0000-0000-000072E40000}"/>
    <cellStyle name="Обычный 14 2 2 2 3 3" xfId="58472" xr:uid="{00000000-0005-0000-0000-000073E40000}"/>
    <cellStyle name="Обычный 14 2 2 2 4" xfId="58473" xr:uid="{00000000-0005-0000-0000-000074E40000}"/>
    <cellStyle name="Обычный 14 2 2 2 5" xfId="58474" xr:uid="{00000000-0005-0000-0000-000075E40000}"/>
    <cellStyle name="Обычный 14 2 2 3" xfId="58475" xr:uid="{00000000-0005-0000-0000-000076E40000}"/>
    <cellStyle name="Обычный 14 2 2 3 2" xfId="58476" xr:uid="{00000000-0005-0000-0000-000077E40000}"/>
    <cellStyle name="Обычный 14 2 2 3 3" xfId="58477" xr:uid="{00000000-0005-0000-0000-000078E40000}"/>
    <cellStyle name="Обычный 14 2 2 4" xfId="58478" xr:uid="{00000000-0005-0000-0000-000079E40000}"/>
    <cellStyle name="Обычный 14 2 2 4 2" xfId="58479" xr:uid="{00000000-0005-0000-0000-00007AE40000}"/>
    <cellStyle name="Обычный 14 2 2 4 3" xfId="58480" xr:uid="{00000000-0005-0000-0000-00007BE40000}"/>
    <cellStyle name="Обычный 14 2 2 5" xfId="58481" xr:uid="{00000000-0005-0000-0000-00007CE40000}"/>
    <cellStyle name="Обычный 14 2 2 6" xfId="58482" xr:uid="{00000000-0005-0000-0000-00007DE40000}"/>
    <cellStyle name="Обычный 14 2 2_объемы 2018г111" xfId="58483" xr:uid="{00000000-0005-0000-0000-00007EE40000}"/>
    <cellStyle name="Обычный 14 2 3" xfId="58484" xr:uid="{00000000-0005-0000-0000-00007FE40000}"/>
    <cellStyle name="Обычный 14 2 3 2" xfId="58485" xr:uid="{00000000-0005-0000-0000-000080E40000}"/>
    <cellStyle name="Обычный 14 2 3 2 2" xfId="58486" xr:uid="{00000000-0005-0000-0000-000081E40000}"/>
    <cellStyle name="Обычный 14 2 3 2 3" xfId="58487" xr:uid="{00000000-0005-0000-0000-000082E40000}"/>
    <cellStyle name="Обычный 14 2 3 3" xfId="58488" xr:uid="{00000000-0005-0000-0000-000083E40000}"/>
    <cellStyle name="Обычный 14 2 3 3 2" xfId="58489" xr:uid="{00000000-0005-0000-0000-000084E40000}"/>
    <cellStyle name="Обычный 14 2 3 3 3" xfId="58490" xr:uid="{00000000-0005-0000-0000-000085E40000}"/>
    <cellStyle name="Обычный 14 2 3 4" xfId="58491" xr:uid="{00000000-0005-0000-0000-000086E40000}"/>
    <cellStyle name="Обычный 14 2 3 5" xfId="58492" xr:uid="{00000000-0005-0000-0000-000087E40000}"/>
    <cellStyle name="Обычный 14 2 4" xfId="58493" xr:uid="{00000000-0005-0000-0000-000088E40000}"/>
    <cellStyle name="Обычный 14 2 4 2" xfId="58494" xr:uid="{00000000-0005-0000-0000-000089E40000}"/>
    <cellStyle name="Обычный 14 2 4 3" xfId="58495" xr:uid="{00000000-0005-0000-0000-00008AE40000}"/>
    <cellStyle name="Обычный 14 2 5" xfId="58496" xr:uid="{00000000-0005-0000-0000-00008BE40000}"/>
    <cellStyle name="Обычный 14 2 5 2" xfId="58497" xr:uid="{00000000-0005-0000-0000-00008CE40000}"/>
    <cellStyle name="Обычный 14 2 5 3" xfId="58498" xr:uid="{00000000-0005-0000-0000-00008DE40000}"/>
    <cellStyle name="Обычный 14 2 6" xfId="58499" xr:uid="{00000000-0005-0000-0000-00008EE40000}"/>
    <cellStyle name="Обычный 14 2 7" xfId="58500" xr:uid="{00000000-0005-0000-0000-00008FE40000}"/>
    <cellStyle name="Обычный 14 2_объемы 2018г111" xfId="58501" xr:uid="{00000000-0005-0000-0000-000090E40000}"/>
    <cellStyle name="Обычный 14 20" xfId="58502" xr:uid="{00000000-0005-0000-0000-000091E40000}"/>
    <cellStyle name="Обычный 14 3" xfId="58503" xr:uid="{00000000-0005-0000-0000-000092E40000}"/>
    <cellStyle name="Обычный 14 3 2" xfId="58504" xr:uid="{00000000-0005-0000-0000-000093E40000}"/>
    <cellStyle name="Обычный 14 3 2 2" xfId="58505" xr:uid="{00000000-0005-0000-0000-000094E40000}"/>
    <cellStyle name="Обычный 14 3 2 2 2" xfId="58506" xr:uid="{00000000-0005-0000-0000-000095E40000}"/>
    <cellStyle name="Обычный 14 3 2 2 3" xfId="58507" xr:uid="{00000000-0005-0000-0000-000096E40000}"/>
    <cellStyle name="Обычный 14 3 2 3" xfId="58508" xr:uid="{00000000-0005-0000-0000-000097E40000}"/>
    <cellStyle name="Обычный 14 3 2 3 2" xfId="58509" xr:uid="{00000000-0005-0000-0000-000098E40000}"/>
    <cellStyle name="Обычный 14 3 2 3 3" xfId="58510" xr:uid="{00000000-0005-0000-0000-000099E40000}"/>
    <cellStyle name="Обычный 14 3 2 4" xfId="58511" xr:uid="{00000000-0005-0000-0000-00009AE40000}"/>
    <cellStyle name="Обычный 14 3 2 5" xfId="58512" xr:uid="{00000000-0005-0000-0000-00009BE40000}"/>
    <cellStyle name="Обычный 14 3 3" xfId="58513" xr:uid="{00000000-0005-0000-0000-00009CE40000}"/>
    <cellStyle name="Обычный 14 3 3 2" xfId="58514" xr:uid="{00000000-0005-0000-0000-00009DE40000}"/>
    <cellStyle name="Обычный 14 3 3 3" xfId="58515" xr:uid="{00000000-0005-0000-0000-00009EE40000}"/>
    <cellStyle name="Обычный 14 3 4" xfId="58516" xr:uid="{00000000-0005-0000-0000-00009FE40000}"/>
    <cellStyle name="Обычный 14 3 4 2" xfId="58517" xr:uid="{00000000-0005-0000-0000-0000A0E40000}"/>
    <cellStyle name="Обычный 14 3 4 3" xfId="58518" xr:uid="{00000000-0005-0000-0000-0000A1E40000}"/>
    <cellStyle name="Обычный 14 3 5" xfId="58519" xr:uid="{00000000-0005-0000-0000-0000A2E40000}"/>
    <cellStyle name="Обычный 14 3 6" xfId="58520" xr:uid="{00000000-0005-0000-0000-0000A3E40000}"/>
    <cellStyle name="Обычный 14 3_объемы 2018г111" xfId="58521" xr:uid="{00000000-0005-0000-0000-0000A4E40000}"/>
    <cellStyle name="Обычный 14 4" xfId="58522" xr:uid="{00000000-0005-0000-0000-0000A5E40000}"/>
    <cellStyle name="Обычный 14 4 2" xfId="58523" xr:uid="{00000000-0005-0000-0000-0000A6E40000}"/>
    <cellStyle name="Обычный 14 4 2 2" xfId="58524" xr:uid="{00000000-0005-0000-0000-0000A7E40000}"/>
    <cellStyle name="Обычный 14 4 2 3" xfId="58525" xr:uid="{00000000-0005-0000-0000-0000A8E40000}"/>
    <cellStyle name="Обычный 14 4 3" xfId="58526" xr:uid="{00000000-0005-0000-0000-0000A9E40000}"/>
    <cellStyle name="Обычный 14 4 3 2" xfId="58527" xr:uid="{00000000-0005-0000-0000-0000AAE40000}"/>
    <cellStyle name="Обычный 14 4 3 3" xfId="58528" xr:uid="{00000000-0005-0000-0000-0000ABE40000}"/>
    <cellStyle name="Обычный 14 4 4" xfId="58529" xr:uid="{00000000-0005-0000-0000-0000ACE40000}"/>
    <cellStyle name="Обычный 14 4 5" xfId="58530" xr:uid="{00000000-0005-0000-0000-0000ADE40000}"/>
    <cellStyle name="Обычный 14 5" xfId="58531" xr:uid="{00000000-0005-0000-0000-0000AEE40000}"/>
    <cellStyle name="Обычный 14 5 2" xfId="58532" xr:uid="{00000000-0005-0000-0000-0000AFE40000}"/>
    <cellStyle name="Обычный 14 5 2 2" xfId="58533" xr:uid="{00000000-0005-0000-0000-0000B0E40000}"/>
    <cellStyle name="Обычный 14 5 2 3" xfId="58534" xr:uid="{00000000-0005-0000-0000-0000B1E40000}"/>
    <cellStyle name="Обычный 14 5 3" xfId="58535" xr:uid="{00000000-0005-0000-0000-0000B2E40000}"/>
    <cellStyle name="Обычный 14 5 3 2" xfId="58536" xr:uid="{00000000-0005-0000-0000-0000B3E40000}"/>
    <cellStyle name="Обычный 14 5 3 3" xfId="58537" xr:uid="{00000000-0005-0000-0000-0000B4E40000}"/>
    <cellStyle name="Обычный 14 5 4" xfId="58538" xr:uid="{00000000-0005-0000-0000-0000B5E40000}"/>
    <cellStyle name="Обычный 14 5 5" xfId="58539" xr:uid="{00000000-0005-0000-0000-0000B6E40000}"/>
    <cellStyle name="Обычный 14 6" xfId="58540" xr:uid="{00000000-0005-0000-0000-0000B7E40000}"/>
    <cellStyle name="Обычный 14 6 2" xfId="58541" xr:uid="{00000000-0005-0000-0000-0000B8E40000}"/>
    <cellStyle name="Обычный 14 6 2 2" xfId="58542" xr:uid="{00000000-0005-0000-0000-0000B9E40000}"/>
    <cellStyle name="Обычный 14 6 2 3" xfId="58543" xr:uid="{00000000-0005-0000-0000-0000BAE40000}"/>
    <cellStyle name="Обычный 14 6 3" xfId="58544" xr:uid="{00000000-0005-0000-0000-0000BBE40000}"/>
    <cellStyle name="Обычный 14 6 3 2" xfId="58545" xr:uid="{00000000-0005-0000-0000-0000BCE40000}"/>
    <cellStyle name="Обычный 14 6 3 3" xfId="58546" xr:uid="{00000000-0005-0000-0000-0000BDE40000}"/>
    <cellStyle name="Обычный 14 6 4" xfId="58547" xr:uid="{00000000-0005-0000-0000-0000BEE40000}"/>
    <cellStyle name="Обычный 14 6 5" xfId="58548" xr:uid="{00000000-0005-0000-0000-0000BFE40000}"/>
    <cellStyle name="Обычный 14 7" xfId="58549" xr:uid="{00000000-0005-0000-0000-0000C0E40000}"/>
    <cellStyle name="Обычный 14 7 2" xfId="58550" xr:uid="{00000000-0005-0000-0000-0000C1E40000}"/>
    <cellStyle name="Обычный 14 7 2 2" xfId="58551" xr:uid="{00000000-0005-0000-0000-0000C2E40000}"/>
    <cellStyle name="Обычный 14 7 2 3" xfId="58552" xr:uid="{00000000-0005-0000-0000-0000C3E40000}"/>
    <cellStyle name="Обычный 14 7 3" xfId="58553" xr:uid="{00000000-0005-0000-0000-0000C4E40000}"/>
    <cellStyle name="Обычный 14 7 3 2" xfId="58554" xr:uid="{00000000-0005-0000-0000-0000C5E40000}"/>
    <cellStyle name="Обычный 14 7 3 3" xfId="58555" xr:uid="{00000000-0005-0000-0000-0000C6E40000}"/>
    <cellStyle name="Обычный 14 7 4" xfId="58556" xr:uid="{00000000-0005-0000-0000-0000C7E40000}"/>
    <cellStyle name="Обычный 14 7 5" xfId="58557" xr:uid="{00000000-0005-0000-0000-0000C8E40000}"/>
    <cellStyle name="Обычный 14 8" xfId="58558" xr:uid="{00000000-0005-0000-0000-0000C9E40000}"/>
    <cellStyle name="Обычный 14 8 2" xfId="58559" xr:uid="{00000000-0005-0000-0000-0000CAE40000}"/>
    <cellStyle name="Обычный 14 8 2 2" xfId="58560" xr:uid="{00000000-0005-0000-0000-0000CBE40000}"/>
    <cellStyle name="Обычный 14 8 2 3" xfId="58561" xr:uid="{00000000-0005-0000-0000-0000CCE40000}"/>
    <cellStyle name="Обычный 14 8 3" xfId="58562" xr:uid="{00000000-0005-0000-0000-0000CDE40000}"/>
    <cellStyle name="Обычный 14 8 3 2" xfId="58563" xr:uid="{00000000-0005-0000-0000-0000CEE40000}"/>
    <cellStyle name="Обычный 14 8 3 3" xfId="58564" xr:uid="{00000000-0005-0000-0000-0000CFE40000}"/>
    <cellStyle name="Обычный 14 8 4" xfId="58565" xr:uid="{00000000-0005-0000-0000-0000D0E40000}"/>
    <cellStyle name="Обычный 14 8 5" xfId="58566" xr:uid="{00000000-0005-0000-0000-0000D1E40000}"/>
    <cellStyle name="Обычный 14 9" xfId="58567" xr:uid="{00000000-0005-0000-0000-0000D2E40000}"/>
    <cellStyle name="Обычный 14 9 2" xfId="58568" xr:uid="{00000000-0005-0000-0000-0000D3E40000}"/>
    <cellStyle name="Обычный 14 9 2 2" xfId="58569" xr:uid="{00000000-0005-0000-0000-0000D4E40000}"/>
    <cellStyle name="Обычный 14 9 2 3" xfId="58570" xr:uid="{00000000-0005-0000-0000-0000D5E40000}"/>
    <cellStyle name="Обычный 14 9 3" xfId="58571" xr:uid="{00000000-0005-0000-0000-0000D6E40000}"/>
    <cellStyle name="Обычный 14 9 3 2" xfId="58572" xr:uid="{00000000-0005-0000-0000-0000D7E40000}"/>
    <cellStyle name="Обычный 14 9 3 3" xfId="58573" xr:uid="{00000000-0005-0000-0000-0000D8E40000}"/>
    <cellStyle name="Обычный 14 9 4" xfId="58574" xr:uid="{00000000-0005-0000-0000-0000D9E40000}"/>
    <cellStyle name="Обычный 14 9 5" xfId="58575" xr:uid="{00000000-0005-0000-0000-0000DAE40000}"/>
    <cellStyle name="Обычный 14_объемы 2018г111" xfId="58576" xr:uid="{00000000-0005-0000-0000-0000DBE40000}"/>
    <cellStyle name="Обычный 140" xfId="58577" xr:uid="{00000000-0005-0000-0000-0000DCE40000}"/>
    <cellStyle name="Обычный 140 2" xfId="58578" xr:uid="{00000000-0005-0000-0000-0000DDE40000}"/>
    <cellStyle name="Обычный 140 3" xfId="58579" xr:uid="{00000000-0005-0000-0000-0000DEE40000}"/>
    <cellStyle name="Обычный 141" xfId="58580" xr:uid="{00000000-0005-0000-0000-0000DFE40000}"/>
    <cellStyle name="Обычный 142" xfId="58581" xr:uid="{00000000-0005-0000-0000-0000E0E40000}"/>
    <cellStyle name="Обычный 143" xfId="58582" xr:uid="{00000000-0005-0000-0000-0000E1E40000}"/>
    <cellStyle name="Обычный 143 2" xfId="58583" xr:uid="{00000000-0005-0000-0000-0000E2E40000}"/>
    <cellStyle name="Обычный 144" xfId="58584" xr:uid="{00000000-0005-0000-0000-0000E3E40000}"/>
    <cellStyle name="Обычный 144 2" xfId="61298" xr:uid="{00000000-0005-0000-0000-0000E4E40000}"/>
    <cellStyle name="Обычный 144 2 2" xfId="61346" xr:uid="{00000000-0005-0000-0000-0000E5E40000}"/>
    <cellStyle name="Обычный 144 2 3" xfId="61359" xr:uid="{00000000-0005-0000-0000-0000E6E40000}"/>
    <cellStyle name="Обычный 145" xfId="61300" xr:uid="{00000000-0005-0000-0000-0000E7E40000}"/>
    <cellStyle name="Обычный 146" xfId="61301" xr:uid="{00000000-0005-0000-0000-0000E8E40000}"/>
    <cellStyle name="Обычный 147" xfId="61312" xr:uid="{00000000-0005-0000-0000-0000E9E40000}"/>
    <cellStyle name="Обычный 148" xfId="61313" xr:uid="{00000000-0005-0000-0000-0000EAE40000}"/>
    <cellStyle name="Обычный 149" xfId="61314" xr:uid="{00000000-0005-0000-0000-0000EBE40000}"/>
    <cellStyle name="Обычный 149 2" xfId="61323" xr:uid="{00000000-0005-0000-0000-0000ECE40000}"/>
    <cellStyle name="Обычный 149 3" xfId="61324" xr:uid="{00000000-0005-0000-0000-0000EDE40000}"/>
    <cellStyle name="Обычный 149 4" xfId="61328" xr:uid="{00000000-0005-0000-0000-0000EEE40000}"/>
    <cellStyle name="Обычный 149 5" xfId="61340" xr:uid="{00000000-0005-0000-0000-0000EFE40000}"/>
    <cellStyle name="Обычный 149 6" xfId="61348" xr:uid="{00000000-0005-0000-0000-0000F0E40000}"/>
    <cellStyle name="Обычный 149 7" xfId="61351" xr:uid="{00000000-0005-0000-0000-0000F1E40000}"/>
    <cellStyle name="Обычный 149 8" xfId="61352" xr:uid="{00000000-0005-0000-0000-0000F2E40000}"/>
    <cellStyle name="Обычный 15" xfId="58585" xr:uid="{00000000-0005-0000-0000-0000F3E40000}"/>
    <cellStyle name="Обычный 15 10" xfId="58586" xr:uid="{00000000-0005-0000-0000-0000F4E40000}"/>
    <cellStyle name="Обычный 15 10 2" xfId="58587" xr:uid="{00000000-0005-0000-0000-0000F5E40000}"/>
    <cellStyle name="Обычный 15 10 2 2" xfId="58588" xr:uid="{00000000-0005-0000-0000-0000F6E40000}"/>
    <cellStyle name="Обычный 15 10 2 3" xfId="58589" xr:uid="{00000000-0005-0000-0000-0000F7E40000}"/>
    <cellStyle name="Обычный 15 10 3" xfId="58590" xr:uid="{00000000-0005-0000-0000-0000F8E40000}"/>
    <cellStyle name="Обычный 15 10 3 2" xfId="58591" xr:uid="{00000000-0005-0000-0000-0000F9E40000}"/>
    <cellStyle name="Обычный 15 10 3 3" xfId="58592" xr:uid="{00000000-0005-0000-0000-0000FAE40000}"/>
    <cellStyle name="Обычный 15 10 4" xfId="58593" xr:uid="{00000000-0005-0000-0000-0000FBE40000}"/>
    <cellStyle name="Обычный 15 10 5" xfId="58594" xr:uid="{00000000-0005-0000-0000-0000FCE40000}"/>
    <cellStyle name="Обычный 15 11" xfId="58595" xr:uid="{00000000-0005-0000-0000-0000FDE40000}"/>
    <cellStyle name="Обычный 15 11 2" xfId="58596" xr:uid="{00000000-0005-0000-0000-0000FEE40000}"/>
    <cellStyle name="Обычный 15 11 2 2" xfId="58597" xr:uid="{00000000-0005-0000-0000-0000FFE40000}"/>
    <cellStyle name="Обычный 15 11 2 3" xfId="58598" xr:uid="{00000000-0005-0000-0000-000000E50000}"/>
    <cellStyle name="Обычный 15 11 3" xfId="58599" xr:uid="{00000000-0005-0000-0000-000001E50000}"/>
    <cellStyle name="Обычный 15 11 3 2" xfId="58600" xr:uid="{00000000-0005-0000-0000-000002E50000}"/>
    <cellStyle name="Обычный 15 11 3 3" xfId="58601" xr:uid="{00000000-0005-0000-0000-000003E50000}"/>
    <cellStyle name="Обычный 15 11 4" xfId="58602" xr:uid="{00000000-0005-0000-0000-000004E50000}"/>
    <cellStyle name="Обычный 15 11 5" xfId="58603" xr:uid="{00000000-0005-0000-0000-000005E50000}"/>
    <cellStyle name="Обычный 15 12" xfId="58604" xr:uid="{00000000-0005-0000-0000-000006E50000}"/>
    <cellStyle name="Обычный 15 12 2" xfId="58605" xr:uid="{00000000-0005-0000-0000-000007E50000}"/>
    <cellStyle name="Обычный 15 12 2 2" xfId="58606" xr:uid="{00000000-0005-0000-0000-000008E50000}"/>
    <cellStyle name="Обычный 15 12 2 3" xfId="58607" xr:uid="{00000000-0005-0000-0000-000009E50000}"/>
    <cellStyle name="Обычный 15 12 3" xfId="58608" xr:uid="{00000000-0005-0000-0000-00000AE50000}"/>
    <cellStyle name="Обычный 15 12 3 2" xfId="58609" xr:uid="{00000000-0005-0000-0000-00000BE50000}"/>
    <cellStyle name="Обычный 15 12 3 3" xfId="58610" xr:uid="{00000000-0005-0000-0000-00000CE50000}"/>
    <cellStyle name="Обычный 15 12 4" xfId="58611" xr:uid="{00000000-0005-0000-0000-00000DE50000}"/>
    <cellStyle name="Обычный 15 12 5" xfId="58612" xr:uid="{00000000-0005-0000-0000-00000EE50000}"/>
    <cellStyle name="Обычный 15 13" xfId="58613" xr:uid="{00000000-0005-0000-0000-00000FE50000}"/>
    <cellStyle name="Обычный 15 13 2" xfId="58614" xr:uid="{00000000-0005-0000-0000-000010E50000}"/>
    <cellStyle name="Обычный 15 13 2 2" xfId="58615" xr:uid="{00000000-0005-0000-0000-000011E50000}"/>
    <cellStyle name="Обычный 15 13 2 3" xfId="58616" xr:uid="{00000000-0005-0000-0000-000012E50000}"/>
    <cellStyle name="Обычный 15 13 3" xfId="58617" xr:uid="{00000000-0005-0000-0000-000013E50000}"/>
    <cellStyle name="Обычный 15 13 3 2" xfId="58618" xr:uid="{00000000-0005-0000-0000-000014E50000}"/>
    <cellStyle name="Обычный 15 13 3 3" xfId="58619" xr:uid="{00000000-0005-0000-0000-000015E50000}"/>
    <cellStyle name="Обычный 15 13 4" xfId="58620" xr:uid="{00000000-0005-0000-0000-000016E50000}"/>
    <cellStyle name="Обычный 15 13 5" xfId="58621" xr:uid="{00000000-0005-0000-0000-000017E50000}"/>
    <cellStyle name="Обычный 15 14" xfId="58622" xr:uid="{00000000-0005-0000-0000-000018E50000}"/>
    <cellStyle name="Обычный 15 14 2" xfId="58623" xr:uid="{00000000-0005-0000-0000-000019E50000}"/>
    <cellStyle name="Обычный 15 14 2 2" xfId="58624" xr:uid="{00000000-0005-0000-0000-00001AE50000}"/>
    <cellStyle name="Обычный 15 14 2 3" xfId="58625" xr:uid="{00000000-0005-0000-0000-00001BE50000}"/>
    <cellStyle name="Обычный 15 14 3" xfId="58626" xr:uid="{00000000-0005-0000-0000-00001CE50000}"/>
    <cellStyle name="Обычный 15 14 3 2" xfId="58627" xr:uid="{00000000-0005-0000-0000-00001DE50000}"/>
    <cellStyle name="Обычный 15 14 3 3" xfId="58628" xr:uid="{00000000-0005-0000-0000-00001EE50000}"/>
    <cellStyle name="Обычный 15 14 4" xfId="58629" xr:uid="{00000000-0005-0000-0000-00001FE50000}"/>
    <cellStyle name="Обычный 15 14 5" xfId="58630" xr:uid="{00000000-0005-0000-0000-000020E50000}"/>
    <cellStyle name="Обычный 15 15" xfId="58631" xr:uid="{00000000-0005-0000-0000-000021E50000}"/>
    <cellStyle name="Обычный 15 15 2" xfId="58632" xr:uid="{00000000-0005-0000-0000-000022E50000}"/>
    <cellStyle name="Обычный 15 15 2 2" xfId="58633" xr:uid="{00000000-0005-0000-0000-000023E50000}"/>
    <cellStyle name="Обычный 15 15 2 3" xfId="58634" xr:uid="{00000000-0005-0000-0000-000024E50000}"/>
    <cellStyle name="Обычный 15 15 3" xfId="58635" xr:uid="{00000000-0005-0000-0000-000025E50000}"/>
    <cellStyle name="Обычный 15 15 3 2" xfId="58636" xr:uid="{00000000-0005-0000-0000-000026E50000}"/>
    <cellStyle name="Обычный 15 15 3 3" xfId="58637" xr:uid="{00000000-0005-0000-0000-000027E50000}"/>
    <cellStyle name="Обычный 15 15 4" xfId="58638" xr:uid="{00000000-0005-0000-0000-000028E50000}"/>
    <cellStyle name="Обычный 15 15 5" xfId="58639" xr:uid="{00000000-0005-0000-0000-000029E50000}"/>
    <cellStyle name="Обычный 15 16" xfId="58640" xr:uid="{00000000-0005-0000-0000-00002AE50000}"/>
    <cellStyle name="Обычный 15 16 2" xfId="58641" xr:uid="{00000000-0005-0000-0000-00002BE50000}"/>
    <cellStyle name="Обычный 15 16 2 2" xfId="58642" xr:uid="{00000000-0005-0000-0000-00002CE50000}"/>
    <cellStyle name="Обычный 15 16 2 3" xfId="58643" xr:uid="{00000000-0005-0000-0000-00002DE50000}"/>
    <cellStyle name="Обычный 15 16 3" xfId="58644" xr:uid="{00000000-0005-0000-0000-00002EE50000}"/>
    <cellStyle name="Обычный 15 16 3 2" xfId="58645" xr:uid="{00000000-0005-0000-0000-00002FE50000}"/>
    <cellStyle name="Обычный 15 16 3 3" xfId="58646" xr:uid="{00000000-0005-0000-0000-000030E50000}"/>
    <cellStyle name="Обычный 15 16 4" xfId="58647" xr:uid="{00000000-0005-0000-0000-000031E50000}"/>
    <cellStyle name="Обычный 15 16 5" xfId="58648" xr:uid="{00000000-0005-0000-0000-000032E50000}"/>
    <cellStyle name="Обычный 15 17" xfId="58649" xr:uid="{00000000-0005-0000-0000-000033E50000}"/>
    <cellStyle name="Обычный 15 17 2" xfId="58650" xr:uid="{00000000-0005-0000-0000-000034E50000}"/>
    <cellStyle name="Обычный 15 17 3" xfId="58651" xr:uid="{00000000-0005-0000-0000-000035E50000}"/>
    <cellStyle name="Обычный 15 18" xfId="58652" xr:uid="{00000000-0005-0000-0000-000036E50000}"/>
    <cellStyle name="Обычный 15 18 2" xfId="58653" xr:uid="{00000000-0005-0000-0000-000037E50000}"/>
    <cellStyle name="Обычный 15 18 3" xfId="58654" xr:uid="{00000000-0005-0000-0000-000038E50000}"/>
    <cellStyle name="Обычный 15 19" xfId="58655" xr:uid="{00000000-0005-0000-0000-000039E50000}"/>
    <cellStyle name="Обычный 15 2" xfId="58656" xr:uid="{00000000-0005-0000-0000-00003AE50000}"/>
    <cellStyle name="Обычный 15 2 2" xfId="58657" xr:uid="{00000000-0005-0000-0000-00003BE50000}"/>
    <cellStyle name="Обычный 15 2 2 2" xfId="58658" xr:uid="{00000000-0005-0000-0000-00003CE50000}"/>
    <cellStyle name="Обычный 15 2 2 2 2" xfId="58659" xr:uid="{00000000-0005-0000-0000-00003DE50000}"/>
    <cellStyle name="Обычный 15 2 2 2 2 2" xfId="58660" xr:uid="{00000000-0005-0000-0000-00003EE50000}"/>
    <cellStyle name="Обычный 15 2 2 2 2 3" xfId="58661" xr:uid="{00000000-0005-0000-0000-00003FE50000}"/>
    <cellStyle name="Обычный 15 2 2 2 3" xfId="58662" xr:uid="{00000000-0005-0000-0000-000040E50000}"/>
    <cellStyle name="Обычный 15 2 2 2 3 2" xfId="58663" xr:uid="{00000000-0005-0000-0000-000041E50000}"/>
    <cellStyle name="Обычный 15 2 2 2 3 3" xfId="58664" xr:uid="{00000000-0005-0000-0000-000042E50000}"/>
    <cellStyle name="Обычный 15 2 2 2 4" xfId="58665" xr:uid="{00000000-0005-0000-0000-000043E50000}"/>
    <cellStyle name="Обычный 15 2 2 2 5" xfId="58666" xr:uid="{00000000-0005-0000-0000-000044E50000}"/>
    <cellStyle name="Обычный 15 2 2 3" xfId="58667" xr:uid="{00000000-0005-0000-0000-000045E50000}"/>
    <cellStyle name="Обычный 15 2 2 3 2" xfId="58668" xr:uid="{00000000-0005-0000-0000-000046E50000}"/>
    <cellStyle name="Обычный 15 2 2 3 3" xfId="58669" xr:uid="{00000000-0005-0000-0000-000047E50000}"/>
    <cellStyle name="Обычный 15 2 2 4" xfId="58670" xr:uid="{00000000-0005-0000-0000-000048E50000}"/>
    <cellStyle name="Обычный 15 2 2 4 2" xfId="58671" xr:uid="{00000000-0005-0000-0000-000049E50000}"/>
    <cellStyle name="Обычный 15 2 2 4 3" xfId="58672" xr:uid="{00000000-0005-0000-0000-00004AE50000}"/>
    <cellStyle name="Обычный 15 2 2 5" xfId="58673" xr:uid="{00000000-0005-0000-0000-00004BE50000}"/>
    <cellStyle name="Обычный 15 2 2 6" xfId="58674" xr:uid="{00000000-0005-0000-0000-00004CE50000}"/>
    <cellStyle name="Обычный 15 2 2_объемы 2018г111" xfId="58675" xr:uid="{00000000-0005-0000-0000-00004DE50000}"/>
    <cellStyle name="Обычный 15 2 3" xfId="58676" xr:uid="{00000000-0005-0000-0000-00004EE50000}"/>
    <cellStyle name="Обычный 15 2 3 2" xfId="58677" xr:uid="{00000000-0005-0000-0000-00004FE50000}"/>
    <cellStyle name="Обычный 15 2 3 2 2" xfId="58678" xr:uid="{00000000-0005-0000-0000-000050E50000}"/>
    <cellStyle name="Обычный 15 2 3 2 3" xfId="58679" xr:uid="{00000000-0005-0000-0000-000051E50000}"/>
    <cellStyle name="Обычный 15 2 3 3" xfId="58680" xr:uid="{00000000-0005-0000-0000-000052E50000}"/>
    <cellStyle name="Обычный 15 2 3 3 2" xfId="58681" xr:uid="{00000000-0005-0000-0000-000053E50000}"/>
    <cellStyle name="Обычный 15 2 3 3 3" xfId="58682" xr:uid="{00000000-0005-0000-0000-000054E50000}"/>
    <cellStyle name="Обычный 15 2 3 4" xfId="58683" xr:uid="{00000000-0005-0000-0000-000055E50000}"/>
    <cellStyle name="Обычный 15 2 3 5" xfId="58684" xr:uid="{00000000-0005-0000-0000-000056E50000}"/>
    <cellStyle name="Обычный 15 2 4" xfId="58685" xr:uid="{00000000-0005-0000-0000-000057E50000}"/>
    <cellStyle name="Обычный 15 2 4 2" xfId="58686" xr:uid="{00000000-0005-0000-0000-000058E50000}"/>
    <cellStyle name="Обычный 15 2 4 3" xfId="58687" xr:uid="{00000000-0005-0000-0000-000059E50000}"/>
    <cellStyle name="Обычный 15 2 4 4" xfId="4" xr:uid="{00000000-0005-0000-0000-00005AE50000}"/>
    <cellStyle name="Обычный 15 2 5" xfId="58688" xr:uid="{00000000-0005-0000-0000-00005BE50000}"/>
    <cellStyle name="Обычный 15 2 5 2" xfId="58689" xr:uid="{00000000-0005-0000-0000-00005CE50000}"/>
    <cellStyle name="Обычный 15 2 5 3" xfId="58690" xr:uid="{00000000-0005-0000-0000-00005DE50000}"/>
    <cellStyle name="Обычный 15 2 6" xfId="58691" xr:uid="{00000000-0005-0000-0000-00005EE50000}"/>
    <cellStyle name="Обычный 15 2 7" xfId="58692" xr:uid="{00000000-0005-0000-0000-00005FE50000}"/>
    <cellStyle name="Обычный 15 2_объемы 2018г111" xfId="58693" xr:uid="{00000000-0005-0000-0000-000060E50000}"/>
    <cellStyle name="Обычный 15 20" xfId="58694" xr:uid="{00000000-0005-0000-0000-000061E50000}"/>
    <cellStyle name="Обычный 15 3" xfId="58695" xr:uid="{00000000-0005-0000-0000-000062E50000}"/>
    <cellStyle name="Обычный 15 3 2" xfId="58696" xr:uid="{00000000-0005-0000-0000-000063E50000}"/>
    <cellStyle name="Обычный 15 3 2 2" xfId="58697" xr:uid="{00000000-0005-0000-0000-000064E50000}"/>
    <cellStyle name="Обычный 15 3 2 2 2" xfId="58698" xr:uid="{00000000-0005-0000-0000-000065E50000}"/>
    <cellStyle name="Обычный 15 3 2 2 3" xfId="58699" xr:uid="{00000000-0005-0000-0000-000066E50000}"/>
    <cellStyle name="Обычный 15 3 2 3" xfId="58700" xr:uid="{00000000-0005-0000-0000-000067E50000}"/>
    <cellStyle name="Обычный 15 3 2 3 2" xfId="58701" xr:uid="{00000000-0005-0000-0000-000068E50000}"/>
    <cellStyle name="Обычный 15 3 2 3 3" xfId="58702" xr:uid="{00000000-0005-0000-0000-000069E50000}"/>
    <cellStyle name="Обычный 15 3 2 4" xfId="58703" xr:uid="{00000000-0005-0000-0000-00006AE50000}"/>
    <cellStyle name="Обычный 15 3 2 5" xfId="58704" xr:uid="{00000000-0005-0000-0000-00006BE50000}"/>
    <cellStyle name="Обычный 15 3 3" xfId="58705" xr:uid="{00000000-0005-0000-0000-00006CE50000}"/>
    <cellStyle name="Обычный 15 3 3 2" xfId="58706" xr:uid="{00000000-0005-0000-0000-00006DE50000}"/>
    <cellStyle name="Обычный 15 3 3 3" xfId="58707" xr:uid="{00000000-0005-0000-0000-00006EE50000}"/>
    <cellStyle name="Обычный 15 3 4" xfId="58708" xr:uid="{00000000-0005-0000-0000-00006FE50000}"/>
    <cellStyle name="Обычный 15 3 4 2" xfId="58709" xr:uid="{00000000-0005-0000-0000-000070E50000}"/>
    <cellStyle name="Обычный 15 3 4 3" xfId="58710" xr:uid="{00000000-0005-0000-0000-000071E50000}"/>
    <cellStyle name="Обычный 15 3 5" xfId="58711" xr:uid="{00000000-0005-0000-0000-000072E50000}"/>
    <cellStyle name="Обычный 15 3 6" xfId="58712" xr:uid="{00000000-0005-0000-0000-000073E50000}"/>
    <cellStyle name="Обычный 15 3_объемы 2018г111" xfId="58713" xr:uid="{00000000-0005-0000-0000-000074E50000}"/>
    <cellStyle name="Обычный 15 4" xfId="58714" xr:uid="{00000000-0005-0000-0000-000075E50000}"/>
    <cellStyle name="Обычный 15 4 2" xfId="58715" xr:uid="{00000000-0005-0000-0000-000076E50000}"/>
    <cellStyle name="Обычный 15 4 2 2" xfId="58716" xr:uid="{00000000-0005-0000-0000-000077E50000}"/>
    <cellStyle name="Обычный 15 4 2 3" xfId="58717" xr:uid="{00000000-0005-0000-0000-000078E50000}"/>
    <cellStyle name="Обычный 15 4 3" xfId="58718" xr:uid="{00000000-0005-0000-0000-000079E50000}"/>
    <cellStyle name="Обычный 15 4 3 2" xfId="58719" xr:uid="{00000000-0005-0000-0000-00007AE50000}"/>
    <cellStyle name="Обычный 15 4 3 3" xfId="58720" xr:uid="{00000000-0005-0000-0000-00007BE50000}"/>
    <cellStyle name="Обычный 15 4 4" xfId="58721" xr:uid="{00000000-0005-0000-0000-00007CE50000}"/>
    <cellStyle name="Обычный 15 4 5" xfId="58722" xr:uid="{00000000-0005-0000-0000-00007DE50000}"/>
    <cellStyle name="Обычный 15 5" xfId="58723" xr:uid="{00000000-0005-0000-0000-00007EE50000}"/>
    <cellStyle name="Обычный 15 5 2" xfId="58724" xr:uid="{00000000-0005-0000-0000-00007FE50000}"/>
    <cellStyle name="Обычный 15 5 2 2" xfId="58725" xr:uid="{00000000-0005-0000-0000-000080E50000}"/>
    <cellStyle name="Обычный 15 5 2 3" xfId="58726" xr:uid="{00000000-0005-0000-0000-000081E50000}"/>
    <cellStyle name="Обычный 15 5 3" xfId="58727" xr:uid="{00000000-0005-0000-0000-000082E50000}"/>
    <cellStyle name="Обычный 15 5 3 2" xfId="58728" xr:uid="{00000000-0005-0000-0000-000083E50000}"/>
    <cellStyle name="Обычный 15 5 3 3" xfId="58729" xr:uid="{00000000-0005-0000-0000-000084E50000}"/>
    <cellStyle name="Обычный 15 5 4" xfId="58730" xr:uid="{00000000-0005-0000-0000-000085E50000}"/>
    <cellStyle name="Обычный 15 5 5" xfId="58731" xr:uid="{00000000-0005-0000-0000-000086E50000}"/>
    <cellStyle name="Обычный 15 6" xfId="58732" xr:uid="{00000000-0005-0000-0000-000087E50000}"/>
    <cellStyle name="Обычный 15 6 2" xfId="58733" xr:uid="{00000000-0005-0000-0000-000088E50000}"/>
    <cellStyle name="Обычный 15 6 2 2" xfId="58734" xr:uid="{00000000-0005-0000-0000-000089E50000}"/>
    <cellStyle name="Обычный 15 6 2 3" xfId="58735" xr:uid="{00000000-0005-0000-0000-00008AE50000}"/>
    <cellStyle name="Обычный 15 6 3" xfId="58736" xr:uid="{00000000-0005-0000-0000-00008BE50000}"/>
    <cellStyle name="Обычный 15 6 3 2" xfId="58737" xr:uid="{00000000-0005-0000-0000-00008CE50000}"/>
    <cellStyle name="Обычный 15 6 3 3" xfId="58738" xr:uid="{00000000-0005-0000-0000-00008DE50000}"/>
    <cellStyle name="Обычный 15 6 4" xfId="58739" xr:uid="{00000000-0005-0000-0000-00008EE50000}"/>
    <cellStyle name="Обычный 15 6 5" xfId="58740" xr:uid="{00000000-0005-0000-0000-00008FE50000}"/>
    <cellStyle name="Обычный 15 7" xfId="58741" xr:uid="{00000000-0005-0000-0000-000090E50000}"/>
    <cellStyle name="Обычный 15 7 2" xfId="58742" xr:uid="{00000000-0005-0000-0000-000091E50000}"/>
    <cellStyle name="Обычный 15 7 2 2" xfId="58743" xr:uid="{00000000-0005-0000-0000-000092E50000}"/>
    <cellStyle name="Обычный 15 7 2 3" xfId="58744" xr:uid="{00000000-0005-0000-0000-000093E50000}"/>
    <cellStyle name="Обычный 15 7 3" xfId="58745" xr:uid="{00000000-0005-0000-0000-000094E50000}"/>
    <cellStyle name="Обычный 15 7 3 2" xfId="58746" xr:uid="{00000000-0005-0000-0000-000095E50000}"/>
    <cellStyle name="Обычный 15 7 3 3" xfId="58747" xr:uid="{00000000-0005-0000-0000-000096E50000}"/>
    <cellStyle name="Обычный 15 7 4" xfId="58748" xr:uid="{00000000-0005-0000-0000-000097E50000}"/>
    <cellStyle name="Обычный 15 7 5" xfId="58749" xr:uid="{00000000-0005-0000-0000-000098E50000}"/>
    <cellStyle name="Обычный 15 8" xfId="58750" xr:uid="{00000000-0005-0000-0000-000099E50000}"/>
    <cellStyle name="Обычный 15 8 2" xfId="58751" xr:uid="{00000000-0005-0000-0000-00009AE50000}"/>
    <cellStyle name="Обычный 15 8 2 2" xfId="58752" xr:uid="{00000000-0005-0000-0000-00009BE50000}"/>
    <cellStyle name="Обычный 15 8 2 3" xfId="58753" xr:uid="{00000000-0005-0000-0000-00009CE50000}"/>
    <cellStyle name="Обычный 15 8 3" xfId="58754" xr:uid="{00000000-0005-0000-0000-00009DE50000}"/>
    <cellStyle name="Обычный 15 8 3 2" xfId="58755" xr:uid="{00000000-0005-0000-0000-00009EE50000}"/>
    <cellStyle name="Обычный 15 8 3 3" xfId="58756" xr:uid="{00000000-0005-0000-0000-00009FE50000}"/>
    <cellStyle name="Обычный 15 8 4" xfId="58757" xr:uid="{00000000-0005-0000-0000-0000A0E50000}"/>
    <cellStyle name="Обычный 15 8 5" xfId="58758" xr:uid="{00000000-0005-0000-0000-0000A1E50000}"/>
    <cellStyle name="Обычный 15 9" xfId="58759" xr:uid="{00000000-0005-0000-0000-0000A2E50000}"/>
    <cellStyle name="Обычный 15 9 2" xfId="58760" xr:uid="{00000000-0005-0000-0000-0000A3E50000}"/>
    <cellStyle name="Обычный 15 9 2 2" xfId="58761" xr:uid="{00000000-0005-0000-0000-0000A4E50000}"/>
    <cellStyle name="Обычный 15 9 2 3" xfId="58762" xr:uid="{00000000-0005-0000-0000-0000A5E50000}"/>
    <cellStyle name="Обычный 15 9 3" xfId="58763" xr:uid="{00000000-0005-0000-0000-0000A6E50000}"/>
    <cellStyle name="Обычный 15 9 3 2" xfId="58764" xr:uid="{00000000-0005-0000-0000-0000A7E50000}"/>
    <cellStyle name="Обычный 15 9 3 3" xfId="58765" xr:uid="{00000000-0005-0000-0000-0000A8E50000}"/>
    <cellStyle name="Обычный 15 9 4" xfId="58766" xr:uid="{00000000-0005-0000-0000-0000A9E50000}"/>
    <cellStyle name="Обычный 15 9 5" xfId="58767" xr:uid="{00000000-0005-0000-0000-0000AAE50000}"/>
    <cellStyle name="Обычный 15_объемы 2018г111" xfId="58768" xr:uid="{00000000-0005-0000-0000-0000ABE50000}"/>
    <cellStyle name="Обычный 150" xfId="61317" xr:uid="{00000000-0005-0000-0000-0000ACE50000}"/>
    <cellStyle name="Обычный 150 2" xfId="61329" xr:uid="{00000000-0005-0000-0000-0000ADE50000}"/>
    <cellStyle name="Обычный 151" xfId="61322" xr:uid="{00000000-0005-0000-0000-0000AEE50000}"/>
    <cellStyle name="Обычный 152" xfId="61347" xr:uid="{00000000-0005-0000-0000-0000AFE50000}"/>
    <cellStyle name="Обычный 16" xfId="58769" xr:uid="{00000000-0005-0000-0000-0000B0E50000}"/>
    <cellStyle name="Обычный 16 2" xfId="58770" xr:uid="{00000000-0005-0000-0000-0000B1E50000}"/>
    <cellStyle name="Обычный 17" xfId="58771" xr:uid="{00000000-0005-0000-0000-0000B2E50000}"/>
    <cellStyle name="Обычный 17 2" xfId="58772" xr:uid="{00000000-0005-0000-0000-0000B3E50000}"/>
    <cellStyle name="Обычный 17 3" xfId="61302" xr:uid="{00000000-0005-0000-0000-0000B4E50000}"/>
    <cellStyle name="Обычный 18" xfId="58773" xr:uid="{00000000-0005-0000-0000-0000B5E50000}"/>
    <cellStyle name="Обычный 18 2" xfId="58774" xr:uid="{00000000-0005-0000-0000-0000B6E50000}"/>
    <cellStyle name="Обычный 18 2 2" xfId="58775" xr:uid="{00000000-0005-0000-0000-0000B7E50000}"/>
    <cellStyle name="Обычный 18 2 2 2" xfId="58776" xr:uid="{00000000-0005-0000-0000-0000B8E50000}"/>
    <cellStyle name="Обычный 18 2 2 2 2" xfId="58777" xr:uid="{00000000-0005-0000-0000-0000B9E50000}"/>
    <cellStyle name="Обычный 18 2 2 2 3" xfId="58778" xr:uid="{00000000-0005-0000-0000-0000BAE50000}"/>
    <cellStyle name="Обычный 18 2 2 3" xfId="58779" xr:uid="{00000000-0005-0000-0000-0000BBE50000}"/>
    <cellStyle name="Обычный 18 2 2 3 2" xfId="58780" xr:uid="{00000000-0005-0000-0000-0000BCE50000}"/>
    <cellStyle name="Обычный 18 2 2 3 3" xfId="58781" xr:uid="{00000000-0005-0000-0000-0000BDE50000}"/>
    <cellStyle name="Обычный 18 2 2 4" xfId="58782" xr:uid="{00000000-0005-0000-0000-0000BEE50000}"/>
    <cellStyle name="Обычный 18 2 2 5" xfId="58783" xr:uid="{00000000-0005-0000-0000-0000BFE50000}"/>
    <cellStyle name="Обычный 18 2 3" xfId="58784" xr:uid="{00000000-0005-0000-0000-0000C0E50000}"/>
    <cellStyle name="Обычный 18 2 3 2" xfId="58785" xr:uid="{00000000-0005-0000-0000-0000C1E50000}"/>
    <cellStyle name="Обычный 18 2 3 3" xfId="58786" xr:uid="{00000000-0005-0000-0000-0000C2E50000}"/>
    <cellStyle name="Обычный 18 2 4" xfId="58787" xr:uid="{00000000-0005-0000-0000-0000C3E50000}"/>
    <cellStyle name="Обычный 18 2 4 2" xfId="58788" xr:uid="{00000000-0005-0000-0000-0000C4E50000}"/>
    <cellStyle name="Обычный 18 2 4 3" xfId="58789" xr:uid="{00000000-0005-0000-0000-0000C5E50000}"/>
    <cellStyle name="Обычный 18 2 5" xfId="58790" xr:uid="{00000000-0005-0000-0000-0000C6E50000}"/>
    <cellStyle name="Обычный 18 2 6" xfId="58791" xr:uid="{00000000-0005-0000-0000-0000C7E50000}"/>
    <cellStyle name="Обычный 18 2_объемы 2018г111" xfId="58792" xr:uid="{00000000-0005-0000-0000-0000C8E50000}"/>
    <cellStyle name="Обычный 18 3" xfId="58793" xr:uid="{00000000-0005-0000-0000-0000C9E50000}"/>
    <cellStyle name="Обычный 18 3 2" xfId="58794" xr:uid="{00000000-0005-0000-0000-0000CAE50000}"/>
    <cellStyle name="Обычный 18 3 2 2" xfId="58795" xr:uid="{00000000-0005-0000-0000-0000CBE50000}"/>
    <cellStyle name="Обычный 18 3 2 3" xfId="58796" xr:uid="{00000000-0005-0000-0000-0000CCE50000}"/>
    <cellStyle name="Обычный 18 3 3" xfId="58797" xr:uid="{00000000-0005-0000-0000-0000CDE50000}"/>
    <cellStyle name="Обычный 18 3 3 2" xfId="58798" xr:uid="{00000000-0005-0000-0000-0000CEE50000}"/>
    <cellStyle name="Обычный 18 3 3 3" xfId="58799" xr:uid="{00000000-0005-0000-0000-0000CFE50000}"/>
    <cellStyle name="Обычный 18 3 4" xfId="58800" xr:uid="{00000000-0005-0000-0000-0000D0E50000}"/>
    <cellStyle name="Обычный 18 3 5" xfId="58801" xr:uid="{00000000-0005-0000-0000-0000D1E50000}"/>
    <cellStyle name="Обычный 18 4" xfId="58802" xr:uid="{00000000-0005-0000-0000-0000D2E50000}"/>
    <cellStyle name="Обычный 18 4 2" xfId="58803" xr:uid="{00000000-0005-0000-0000-0000D3E50000}"/>
    <cellStyle name="Обычный 18 4 3" xfId="58804" xr:uid="{00000000-0005-0000-0000-0000D4E50000}"/>
    <cellStyle name="Обычный 18 5" xfId="58805" xr:uid="{00000000-0005-0000-0000-0000D5E50000}"/>
    <cellStyle name="Обычный 18 5 2" xfId="58806" xr:uid="{00000000-0005-0000-0000-0000D6E50000}"/>
    <cellStyle name="Обычный 18 5 3" xfId="58807" xr:uid="{00000000-0005-0000-0000-0000D7E50000}"/>
    <cellStyle name="Обычный 18 6" xfId="58808" xr:uid="{00000000-0005-0000-0000-0000D8E50000}"/>
    <cellStyle name="Обычный 18 7" xfId="58809" xr:uid="{00000000-0005-0000-0000-0000D9E50000}"/>
    <cellStyle name="Обычный 18_объемы 2018г111" xfId="58810" xr:uid="{00000000-0005-0000-0000-0000DAE50000}"/>
    <cellStyle name="Обычный 19" xfId="58811" xr:uid="{00000000-0005-0000-0000-0000DBE50000}"/>
    <cellStyle name="Обычный 19 2" xfId="58812" xr:uid="{00000000-0005-0000-0000-0000DCE50000}"/>
    <cellStyle name="Обычный 19 2 2" xfId="58813" xr:uid="{00000000-0005-0000-0000-0000DDE50000}"/>
    <cellStyle name="Обычный 19 2 2 2" xfId="58814" xr:uid="{00000000-0005-0000-0000-0000DEE50000}"/>
    <cellStyle name="Обычный 19 2 2 2 2" xfId="58815" xr:uid="{00000000-0005-0000-0000-0000DFE50000}"/>
    <cellStyle name="Обычный 19 2 2 2 3" xfId="58816" xr:uid="{00000000-0005-0000-0000-0000E0E50000}"/>
    <cellStyle name="Обычный 19 2 2 3" xfId="58817" xr:uid="{00000000-0005-0000-0000-0000E1E50000}"/>
    <cellStyle name="Обычный 19 2 2 3 2" xfId="58818" xr:uid="{00000000-0005-0000-0000-0000E2E50000}"/>
    <cellStyle name="Обычный 19 2 2 3 3" xfId="58819" xr:uid="{00000000-0005-0000-0000-0000E3E50000}"/>
    <cellStyle name="Обычный 19 2 2 4" xfId="58820" xr:uid="{00000000-0005-0000-0000-0000E4E50000}"/>
    <cellStyle name="Обычный 19 2 2 5" xfId="58821" xr:uid="{00000000-0005-0000-0000-0000E5E50000}"/>
    <cellStyle name="Обычный 19 2 3" xfId="58822" xr:uid="{00000000-0005-0000-0000-0000E6E50000}"/>
    <cellStyle name="Обычный 19 2 3 2" xfId="58823" xr:uid="{00000000-0005-0000-0000-0000E7E50000}"/>
    <cellStyle name="Обычный 19 2 3 3" xfId="58824" xr:uid="{00000000-0005-0000-0000-0000E8E50000}"/>
    <cellStyle name="Обычный 19 2 4" xfId="58825" xr:uid="{00000000-0005-0000-0000-0000E9E50000}"/>
    <cellStyle name="Обычный 19 2 4 2" xfId="58826" xr:uid="{00000000-0005-0000-0000-0000EAE50000}"/>
    <cellStyle name="Обычный 19 2 4 3" xfId="58827" xr:uid="{00000000-0005-0000-0000-0000EBE50000}"/>
    <cellStyle name="Обычный 19 2 5" xfId="58828" xr:uid="{00000000-0005-0000-0000-0000ECE50000}"/>
    <cellStyle name="Обычный 19 2 6" xfId="58829" xr:uid="{00000000-0005-0000-0000-0000EDE50000}"/>
    <cellStyle name="Обычный 19 2_объемы 2018г111" xfId="58830" xr:uid="{00000000-0005-0000-0000-0000EEE50000}"/>
    <cellStyle name="Обычный 19 3" xfId="58831" xr:uid="{00000000-0005-0000-0000-0000EFE50000}"/>
    <cellStyle name="Обычный 19 3 2" xfId="58832" xr:uid="{00000000-0005-0000-0000-0000F0E50000}"/>
    <cellStyle name="Обычный 19 3 2 2" xfId="58833" xr:uid="{00000000-0005-0000-0000-0000F1E50000}"/>
    <cellStyle name="Обычный 19 3 2 3" xfId="58834" xr:uid="{00000000-0005-0000-0000-0000F2E50000}"/>
    <cellStyle name="Обычный 19 3 3" xfId="58835" xr:uid="{00000000-0005-0000-0000-0000F3E50000}"/>
    <cellStyle name="Обычный 19 3 3 2" xfId="58836" xr:uid="{00000000-0005-0000-0000-0000F4E50000}"/>
    <cellStyle name="Обычный 19 3 3 3" xfId="58837" xr:uid="{00000000-0005-0000-0000-0000F5E50000}"/>
    <cellStyle name="Обычный 19 3 4" xfId="58838" xr:uid="{00000000-0005-0000-0000-0000F6E50000}"/>
    <cellStyle name="Обычный 19 3 5" xfId="58839" xr:uid="{00000000-0005-0000-0000-0000F7E50000}"/>
    <cellStyle name="Обычный 19 4" xfId="58840" xr:uid="{00000000-0005-0000-0000-0000F8E50000}"/>
    <cellStyle name="Обычный 19 4 2" xfId="58841" xr:uid="{00000000-0005-0000-0000-0000F9E50000}"/>
    <cellStyle name="Обычный 19 4 2 2" xfId="58842" xr:uid="{00000000-0005-0000-0000-0000FAE50000}"/>
    <cellStyle name="Обычный 19 4 2 3" xfId="58843" xr:uid="{00000000-0005-0000-0000-0000FBE50000}"/>
    <cellStyle name="Обычный 19 4 3" xfId="58844" xr:uid="{00000000-0005-0000-0000-0000FCE50000}"/>
    <cellStyle name="Обычный 19 4 3 2" xfId="58845" xr:uid="{00000000-0005-0000-0000-0000FDE50000}"/>
    <cellStyle name="Обычный 19 4 3 3" xfId="58846" xr:uid="{00000000-0005-0000-0000-0000FEE50000}"/>
    <cellStyle name="Обычный 19 4 4" xfId="58847" xr:uid="{00000000-0005-0000-0000-0000FFE50000}"/>
    <cellStyle name="Обычный 19 4 5" xfId="58848" xr:uid="{00000000-0005-0000-0000-000000E60000}"/>
    <cellStyle name="Обычный 19 5" xfId="58849" xr:uid="{00000000-0005-0000-0000-000001E60000}"/>
    <cellStyle name="Обычный 19 5 2" xfId="58850" xr:uid="{00000000-0005-0000-0000-000002E60000}"/>
    <cellStyle name="Обычный 19 5 2 2" xfId="58851" xr:uid="{00000000-0005-0000-0000-000003E60000}"/>
    <cellStyle name="Обычный 19 5 2 3" xfId="58852" xr:uid="{00000000-0005-0000-0000-000004E60000}"/>
    <cellStyle name="Обычный 19 5 3" xfId="58853" xr:uid="{00000000-0005-0000-0000-000005E60000}"/>
    <cellStyle name="Обычный 19 5 3 2" xfId="58854" xr:uid="{00000000-0005-0000-0000-000006E60000}"/>
    <cellStyle name="Обычный 19 5 3 3" xfId="58855" xr:uid="{00000000-0005-0000-0000-000007E60000}"/>
    <cellStyle name="Обычный 19 5 4" xfId="58856" xr:uid="{00000000-0005-0000-0000-000008E60000}"/>
    <cellStyle name="Обычный 19 5 5" xfId="58857" xr:uid="{00000000-0005-0000-0000-000009E60000}"/>
    <cellStyle name="Обычный 19 6" xfId="58858" xr:uid="{00000000-0005-0000-0000-00000AE60000}"/>
    <cellStyle name="Обычный 19 6 2" xfId="58859" xr:uid="{00000000-0005-0000-0000-00000BE60000}"/>
    <cellStyle name="Обычный 19 6 3" xfId="58860" xr:uid="{00000000-0005-0000-0000-00000CE60000}"/>
    <cellStyle name="Обычный 19 7" xfId="58861" xr:uid="{00000000-0005-0000-0000-00000DE60000}"/>
    <cellStyle name="Обычный 19 7 2" xfId="58862" xr:uid="{00000000-0005-0000-0000-00000EE60000}"/>
    <cellStyle name="Обычный 19 7 3" xfId="58863" xr:uid="{00000000-0005-0000-0000-00000FE60000}"/>
    <cellStyle name="Обычный 19 8" xfId="58864" xr:uid="{00000000-0005-0000-0000-000010E60000}"/>
    <cellStyle name="Обычный 19 9" xfId="58865" xr:uid="{00000000-0005-0000-0000-000011E60000}"/>
    <cellStyle name="Обычный 19_объемы 2018г111" xfId="58866" xr:uid="{00000000-0005-0000-0000-000012E60000}"/>
    <cellStyle name="Обычный 2" xfId="3" xr:uid="{00000000-0005-0000-0000-000013E60000}"/>
    <cellStyle name="Обычный 2 10" xfId="58867" xr:uid="{00000000-0005-0000-0000-000014E60000}"/>
    <cellStyle name="Обычный 2 100" xfId="58868" xr:uid="{00000000-0005-0000-0000-000015E60000}"/>
    <cellStyle name="Обычный 2 101" xfId="58869" xr:uid="{00000000-0005-0000-0000-000016E60000}"/>
    <cellStyle name="Обычный 2 102" xfId="58870" xr:uid="{00000000-0005-0000-0000-000017E60000}"/>
    <cellStyle name="Обычный 2 103" xfId="58871" xr:uid="{00000000-0005-0000-0000-000018E60000}"/>
    <cellStyle name="Обычный 2 104" xfId="58872" xr:uid="{00000000-0005-0000-0000-000019E60000}"/>
    <cellStyle name="Обычный 2 105" xfId="58873" xr:uid="{00000000-0005-0000-0000-00001AE60000}"/>
    <cellStyle name="Обычный 2 106" xfId="58874" xr:uid="{00000000-0005-0000-0000-00001BE60000}"/>
    <cellStyle name="Обычный 2 107" xfId="58875" xr:uid="{00000000-0005-0000-0000-00001CE60000}"/>
    <cellStyle name="Обычный 2 108" xfId="58876" xr:uid="{00000000-0005-0000-0000-00001DE60000}"/>
    <cellStyle name="Обычный 2 109" xfId="58877" xr:uid="{00000000-0005-0000-0000-00001EE60000}"/>
    <cellStyle name="Обычный 2 11" xfId="58878" xr:uid="{00000000-0005-0000-0000-00001FE60000}"/>
    <cellStyle name="Обычный 2 110" xfId="58879" xr:uid="{00000000-0005-0000-0000-000020E60000}"/>
    <cellStyle name="Обычный 2 111" xfId="58880" xr:uid="{00000000-0005-0000-0000-000021E60000}"/>
    <cellStyle name="Обычный 2 112" xfId="58881" xr:uid="{00000000-0005-0000-0000-000022E60000}"/>
    <cellStyle name="Обычный 2 113" xfId="58882" xr:uid="{00000000-0005-0000-0000-000023E60000}"/>
    <cellStyle name="Обычный 2 114" xfId="58883" xr:uid="{00000000-0005-0000-0000-000024E60000}"/>
    <cellStyle name="Обычный 2 115" xfId="58884" xr:uid="{00000000-0005-0000-0000-000025E60000}"/>
    <cellStyle name="Обычный 2 116" xfId="58885" xr:uid="{00000000-0005-0000-0000-000026E60000}"/>
    <cellStyle name="Обычный 2 117" xfId="58886" xr:uid="{00000000-0005-0000-0000-000027E60000}"/>
    <cellStyle name="Обычный 2 118" xfId="58887" xr:uid="{00000000-0005-0000-0000-000028E60000}"/>
    <cellStyle name="Обычный 2 119" xfId="58888" xr:uid="{00000000-0005-0000-0000-000029E60000}"/>
    <cellStyle name="Обычный 2 12" xfId="58889" xr:uid="{00000000-0005-0000-0000-00002AE60000}"/>
    <cellStyle name="Обычный 2 120" xfId="58890" xr:uid="{00000000-0005-0000-0000-00002BE60000}"/>
    <cellStyle name="Обычный 2 121" xfId="58891" xr:uid="{00000000-0005-0000-0000-00002CE60000}"/>
    <cellStyle name="Обычный 2 122" xfId="58892" xr:uid="{00000000-0005-0000-0000-00002DE60000}"/>
    <cellStyle name="Обычный 2 123" xfId="58893" xr:uid="{00000000-0005-0000-0000-00002EE60000}"/>
    <cellStyle name="Обычный 2 124" xfId="58894" xr:uid="{00000000-0005-0000-0000-00002FE60000}"/>
    <cellStyle name="Обычный 2 125" xfId="58895" xr:uid="{00000000-0005-0000-0000-000030E60000}"/>
    <cellStyle name="Обычный 2 126" xfId="58896" xr:uid="{00000000-0005-0000-0000-000031E60000}"/>
    <cellStyle name="Обычный 2 127" xfId="58897" xr:uid="{00000000-0005-0000-0000-000032E60000}"/>
    <cellStyle name="Обычный 2 128" xfId="58898" xr:uid="{00000000-0005-0000-0000-000033E60000}"/>
    <cellStyle name="Обычный 2 129" xfId="58899" xr:uid="{00000000-0005-0000-0000-000034E60000}"/>
    <cellStyle name="Обычный 2 13" xfId="58900" xr:uid="{00000000-0005-0000-0000-000035E60000}"/>
    <cellStyle name="Обычный 2 130" xfId="58901" xr:uid="{00000000-0005-0000-0000-000036E60000}"/>
    <cellStyle name="Обычный 2 131" xfId="58902" xr:uid="{00000000-0005-0000-0000-000037E60000}"/>
    <cellStyle name="Обычный 2 132" xfId="58903" xr:uid="{00000000-0005-0000-0000-000038E60000}"/>
    <cellStyle name="Обычный 2 133" xfId="58904" xr:uid="{00000000-0005-0000-0000-000039E60000}"/>
    <cellStyle name="Обычный 2 134" xfId="58905" xr:uid="{00000000-0005-0000-0000-00003AE60000}"/>
    <cellStyle name="Обычный 2 135" xfId="58906" xr:uid="{00000000-0005-0000-0000-00003BE60000}"/>
    <cellStyle name="Обычный 2 136" xfId="1" xr:uid="{00000000-0005-0000-0000-00003CE60000}"/>
    <cellStyle name="Обычный 2 136 10" xfId="58907" xr:uid="{00000000-0005-0000-0000-00003DE60000}"/>
    <cellStyle name="Обычный 2 136 11" xfId="58908" xr:uid="{00000000-0005-0000-0000-00003EE60000}"/>
    <cellStyle name="Обычный 2 136 11 7" xfId="61295" xr:uid="{00000000-0005-0000-0000-00003FE60000}"/>
    <cellStyle name="Обычный 2 136 11 7 2" xfId="61303" xr:uid="{00000000-0005-0000-0000-000040E60000}"/>
    <cellStyle name="Обычный 2 136 11 7 3" xfId="61304" xr:uid="{00000000-0005-0000-0000-000041E60000}"/>
    <cellStyle name="Обычный 2 136 11 7 4" xfId="61325" xr:uid="{00000000-0005-0000-0000-000042E60000}"/>
    <cellStyle name="Обычный 2 136 11 7 4 2" xfId="61336" xr:uid="{00000000-0005-0000-0000-000043E60000}"/>
    <cellStyle name="Обычный 2 136 11 7 4 3" xfId="61338" xr:uid="{00000000-0005-0000-0000-000044E60000}"/>
    <cellStyle name="Обычный 2 136 11 7 4 3 2" xfId="61358" xr:uid="{00000000-0005-0000-0000-000045E60000}"/>
    <cellStyle name="Обычный 2 136 11 7 4 4" xfId="61356" xr:uid="{00000000-0005-0000-0000-000046E60000}"/>
    <cellStyle name="Обычный 2 136 12" xfId="58909" xr:uid="{00000000-0005-0000-0000-000047E60000}"/>
    <cellStyle name="Обычный 2 136 13" xfId="58910" xr:uid="{00000000-0005-0000-0000-000048E60000}"/>
    <cellStyle name="Обычный 2 136 14" xfId="61334" xr:uid="{00000000-0005-0000-0000-000049E60000}"/>
    <cellStyle name="Обычный 2 136 15" xfId="61331" xr:uid="{00000000-0005-0000-0000-00004AE60000}"/>
    <cellStyle name="Обычный 2 136 15 2" xfId="61343" xr:uid="{00000000-0005-0000-0000-00004BE60000}"/>
    <cellStyle name="Обычный 2 136 15 3" xfId="61353" xr:uid="{00000000-0005-0000-0000-00004CE60000}"/>
    <cellStyle name="Обычный 2 136 2" xfId="58911" xr:uid="{00000000-0005-0000-0000-00004DE60000}"/>
    <cellStyle name="Обычный 2 136 21" xfId="61296" xr:uid="{00000000-0005-0000-0000-00004EE60000}"/>
    <cellStyle name="Обычный 2 136 21 2" xfId="61305" xr:uid="{00000000-0005-0000-0000-00004FE60000}"/>
    <cellStyle name="Обычный 2 136 23" xfId="61335" xr:uid="{00000000-0005-0000-0000-000050E60000}"/>
    <cellStyle name="Обычный 2 136 23 2" xfId="61339" xr:uid="{00000000-0005-0000-0000-000051E60000}"/>
    <cellStyle name="Обычный 2 136 23 3" xfId="61360" xr:uid="{00000000-0005-0000-0000-000052E60000}"/>
    <cellStyle name="Обычный 2 136 3" xfId="58912" xr:uid="{00000000-0005-0000-0000-000053E60000}"/>
    <cellStyle name="Обычный 2 136 4" xfId="58913" xr:uid="{00000000-0005-0000-0000-000054E60000}"/>
    <cellStyle name="Обычный 2 136 5" xfId="58914" xr:uid="{00000000-0005-0000-0000-000055E60000}"/>
    <cellStyle name="Обычный 2 136 6" xfId="58915" xr:uid="{00000000-0005-0000-0000-000056E60000}"/>
    <cellStyle name="Обычный 2 136 7" xfId="58916" xr:uid="{00000000-0005-0000-0000-000057E60000}"/>
    <cellStyle name="Обычный 2 136 7 2" xfId="58917" xr:uid="{00000000-0005-0000-0000-000058E60000}"/>
    <cellStyle name="Обычный 2 136 8" xfId="58918" xr:uid="{00000000-0005-0000-0000-000059E60000}"/>
    <cellStyle name="Обычный 2 136 9" xfId="58919" xr:uid="{00000000-0005-0000-0000-00005AE60000}"/>
    <cellStyle name="Обычный 2 136 9 2" xfId="58920" xr:uid="{00000000-0005-0000-0000-00005BE60000}"/>
    <cellStyle name="Обычный 2 137" xfId="58921" xr:uid="{00000000-0005-0000-0000-00005CE60000}"/>
    <cellStyle name="Обычный 2 138" xfId="58922" xr:uid="{00000000-0005-0000-0000-00005DE60000}"/>
    <cellStyle name="Обычный 2 139" xfId="58923" xr:uid="{00000000-0005-0000-0000-00005EE60000}"/>
    <cellStyle name="Обычный 2 14" xfId="58924" xr:uid="{00000000-0005-0000-0000-00005FE60000}"/>
    <cellStyle name="Обычный 2 140" xfId="58925" xr:uid="{00000000-0005-0000-0000-000060E60000}"/>
    <cellStyle name="Обычный 2 141" xfId="58926" xr:uid="{00000000-0005-0000-0000-000061E60000}"/>
    <cellStyle name="Обычный 2 142" xfId="58927" xr:uid="{00000000-0005-0000-0000-000062E60000}"/>
    <cellStyle name="Обычный 2 143" xfId="58928" xr:uid="{00000000-0005-0000-0000-000063E60000}"/>
    <cellStyle name="Обычный 2 144" xfId="58929" xr:uid="{00000000-0005-0000-0000-000064E60000}"/>
    <cellStyle name="Обычный 2 144 2" xfId="58930" xr:uid="{00000000-0005-0000-0000-000065E60000}"/>
    <cellStyle name="Обычный 2 145" xfId="58931" xr:uid="{00000000-0005-0000-0000-000066E60000}"/>
    <cellStyle name="Обычный 2 145 2" xfId="58932" xr:uid="{00000000-0005-0000-0000-000067E60000}"/>
    <cellStyle name="Обычный 2 146" xfId="58933" xr:uid="{00000000-0005-0000-0000-000068E60000}"/>
    <cellStyle name="Обычный 2 147" xfId="58934" xr:uid="{00000000-0005-0000-0000-000069E60000}"/>
    <cellStyle name="Обычный 2 148" xfId="61293" xr:uid="{00000000-0005-0000-0000-00006AE60000}"/>
    <cellStyle name="Обычный 2 15" xfId="58935" xr:uid="{00000000-0005-0000-0000-00006BE60000}"/>
    <cellStyle name="Обычный 2 16" xfId="58936" xr:uid="{00000000-0005-0000-0000-00006CE60000}"/>
    <cellStyle name="Обычный 2 17" xfId="58937" xr:uid="{00000000-0005-0000-0000-00006DE60000}"/>
    <cellStyle name="Обычный 2 18" xfId="58938" xr:uid="{00000000-0005-0000-0000-00006EE60000}"/>
    <cellStyle name="Обычный 2 19" xfId="58939" xr:uid="{00000000-0005-0000-0000-00006FE60000}"/>
    <cellStyle name="Обычный 2 2" xfId="58940" xr:uid="{00000000-0005-0000-0000-000070E60000}"/>
    <cellStyle name="Обычный 2 2 10" xfId="58941" xr:uid="{00000000-0005-0000-0000-000071E60000}"/>
    <cellStyle name="Обычный 2 2 2" xfId="58942" xr:uid="{00000000-0005-0000-0000-000072E60000}"/>
    <cellStyle name="Обычный 2 2 2 2" xfId="58943" xr:uid="{00000000-0005-0000-0000-000073E60000}"/>
    <cellStyle name="Обычный 2 2 2 2 2" xfId="58944" xr:uid="{00000000-0005-0000-0000-000074E60000}"/>
    <cellStyle name="Обычный 2 2 2 3" xfId="58945" xr:uid="{00000000-0005-0000-0000-000075E60000}"/>
    <cellStyle name="Обычный 2 2 2 3 2" xfId="58946" xr:uid="{00000000-0005-0000-0000-000076E60000}"/>
    <cellStyle name="Обычный 2 2 3" xfId="58947" xr:uid="{00000000-0005-0000-0000-000077E60000}"/>
    <cellStyle name="Обычный 2 2 3 2" xfId="58948" xr:uid="{00000000-0005-0000-0000-000078E60000}"/>
    <cellStyle name="Обычный 2 2 3 3" xfId="58949" xr:uid="{00000000-0005-0000-0000-000079E60000}"/>
    <cellStyle name="Обычный 2 2 4" xfId="58950" xr:uid="{00000000-0005-0000-0000-00007AE60000}"/>
    <cellStyle name="Обычный 2 2 4 2" xfId="58951" xr:uid="{00000000-0005-0000-0000-00007BE60000}"/>
    <cellStyle name="Обычный 2 2 4 3" xfId="58952" xr:uid="{00000000-0005-0000-0000-00007CE60000}"/>
    <cellStyle name="Обычный 2 2 5" xfId="58953" xr:uid="{00000000-0005-0000-0000-00007DE60000}"/>
    <cellStyle name="Обычный 2 2 5 2" xfId="58954" xr:uid="{00000000-0005-0000-0000-00007EE60000}"/>
    <cellStyle name="Обычный 2 2 5 3" xfId="58955" xr:uid="{00000000-0005-0000-0000-00007FE60000}"/>
    <cellStyle name="Обычный 2 2 6" xfId="58956" xr:uid="{00000000-0005-0000-0000-000080E60000}"/>
    <cellStyle name="Обычный 2 2 6 2" xfId="58957" xr:uid="{00000000-0005-0000-0000-000081E60000}"/>
    <cellStyle name="Обычный 2 2 6 3" xfId="58958" xr:uid="{00000000-0005-0000-0000-000082E60000}"/>
    <cellStyle name="Обычный 2 2 7" xfId="58959" xr:uid="{00000000-0005-0000-0000-000083E60000}"/>
    <cellStyle name="Обычный 2 2 7 2" xfId="58960" xr:uid="{00000000-0005-0000-0000-000084E60000}"/>
    <cellStyle name="Обычный 2 2 7 3" xfId="58961" xr:uid="{00000000-0005-0000-0000-000085E60000}"/>
    <cellStyle name="Обычный 2 2 8" xfId="58962" xr:uid="{00000000-0005-0000-0000-000086E60000}"/>
    <cellStyle name="Обычный 2 2 9" xfId="58963" xr:uid="{00000000-0005-0000-0000-000087E60000}"/>
    <cellStyle name="Обычный 2 20" xfId="58964" xr:uid="{00000000-0005-0000-0000-000088E60000}"/>
    <cellStyle name="Обычный 2 21" xfId="58965" xr:uid="{00000000-0005-0000-0000-000089E60000}"/>
    <cellStyle name="Обычный 2 22" xfId="58966" xr:uid="{00000000-0005-0000-0000-00008AE60000}"/>
    <cellStyle name="Обычный 2 23" xfId="58967" xr:uid="{00000000-0005-0000-0000-00008BE60000}"/>
    <cellStyle name="Обычный 2 24" xfId="58968" xr:uid="{00000000-0005-0000-0000-00008CE60000}"/>
    <cellStyle name="Обычный 2 25" xfId="58969" xr:uid="{00000000-0005-0000-0000-00008DE60000}"/>
    <cellStyle name="Обычный 2 26" xfId="58970" xr:uid="{00000000-0005-0000-0000-00008EE60000}"/>
    <cellStyle name="Обычный 2 27" xfId="58971" xr:uid="{00000000-0005-0000-0000-00008FE60000}"/>
    <cellStyle name="Обычный 2 28" xfId="58972" xr:uid="{00000000-0005-0000-0000-000090E60000}"/>
    <cellStyle name="Обычный 2 29" xfId="58973" xr:uid="{00000000-0005-0000-0000-000091E60000}"/>
    <cellStyle name="Обычный 2 3" xfId="58974" xr:uid="{00000000-0005-0000-0000-000092E60000}"/>
    <cellStyle name="Обычный 2 3 2" xfId="58975" xr:uid="{00000000-0005-0000-0000-000093E60000}"/>
    <cellStyle name="Обычный 2 3 3" xfId="58976" xr:uid="{00000000-0005-0000-0000-000094E60000}"/>
    <cellStyle name="Обычный 2 30" xfId="58977" xr:uid="{00000000-0005-0000-0000-000095E60000}"/>
    <cellStyle name="Обычный 2 31" xfId="58978" xr:uid="{00000000-0005-0000-0000-000096E60000}"/>
    <cellStyle name="Обычный 2 32" xfId="58979" xr:uid="{00000000-0005-0000-0000-000097E60000}"/>
    <cellStyle name="Обычный 2 33" xfId="58980" xr:uid="{00000000-0005-0000-0000-000098E60000}"/>
    <cellStyle name="Обычный 2 34" xfId="58981" xr:uid="{00000000-0005-0000-0000-000099E60000}"/>
    <cellStyle name="Обычный 2 35" xfId="58982" xr:uid="{00000000-0005-0000-0000-00009AE60000}"/>
    <cellStyle name="Обычный 2 36" xfId="58983" xr:uid="{00000000-0005-0000-0000-00009BE60000}"/>
    <cellStyle name="Обычный 2 37" xfId="58984" xr:uid="{00000000-0005-0000-0000-00009CE60000}"/>
    <cellStyle name="Обычный 2 38" xfId="58985" xr:uid="{00000000-0005-0000-0000-00009DE60000}"/>
    <cellStyle name="Обычный 2 39" xfId="58986" xr:uid="{00000000-0005-0000-0000-00009EE60000}"/>
    <cellStyle name="Обычный 2 4" xfId="58987" xr:uid="{00000000-0005-0000-0000-00009FE60000}"/>
    <cellStyle name="Обычный 2 4 2" xfId="58988" xr:uid="{00000000-0005-0000-0000-0000A0E60000}"/>
    <cellStyle name="Обычный 2 40" xfId="58989" xr:uid="{00000000-0005-0000-0000-0000A1E60000}"/>
    <cellStyle name="Обычный 2 41" xfId="58990" xr:uid="{00000000-0005-0000-0000-0000A2E60000}"/>
    <cellStyle name="Обычный 2 42" xfId="58991" xr:uid="{00000000-0005-0000-0000-0000A3E60000}"/>
    <cellStyle name="Обычный 2 43" xfId="58992" xr:uid="{00000000-0005-0000-0000-0000A4E60000}"/>
    <cellStyle name="Обычный 2 44" xfId="58993" xr:uid="{00000000-0005-0000-0000-0000A5E60000}"/>
    <cellStyle name="Обычный 2 45" xfId="58994" xr:uid="{00000000-0005-0000-0000-0000A6E60000}"/>
    <cellStyle name="Обычный 2 46" xfId="58995" xr:uid="{00000000-0005-0000-0000-0000A7E60000}"/>
    <cellStyle name="Обычный 2 47" xfId="58996" xr:uid="{00000000-0005-0000-0000-0000A8E60000}"/>
    <cellStyle name="Обычный 2 48" xfId="58997" xr:uid="{00000000-0005-0000-0000-0000A9E60000}"/>
    <cellStyle name="Обычный 2 49" xfId="58998" xr:uid="{00000000-0005-0000-0000-0000AAE60000}"/>
    <cellStyle name="Обычный 2 5" xfId="58999" xr:uid="{00000000-0005-0000-0000-0000ABE60000}"/>
    <cellStyle name="Обычный 2 5 2" xfId="59000" xr:uid="{00000000-0005-0000-0000-0000ACE60000}"/>
    <cellStyle name="Обычный 2 5 3" xfId="59001" xr:uid="{00000000-0005-0000-0000-0000ADE60000}"/>
    <cellStyle name="Обычный 2 50" xfId="59002" xr:uid="{00000000-0005-0000-0000-0000AEE60000}"/>
    <cellStyle name="Обычный 2 51" xfId="59003" xr:uid="{00000000-0005-0000-0000-0000AFE60000}"/>
    <cellStyle name="Обычный 2 52" xfId="59004" xr:uid="{00000000-0005-0000-0000-0000B0E60000}"/>
    <cellStyle name="Обычный 2 53" xfId="59005" xr:uid="{00000000-0005-0000-0000-0000B1E60000}"/>
    <cellStyle name="Обычный 2 54" xfId="59006" xr:uid="{00000000-0005-0000-0000-0000B2E60000}"/>
    <cellStyle name="Обычный 2 55" xfId="59007" xr:uid="{00000000-0005-0000-0000-0000B3E60000}"/>
    <cellStyle name="Обычный 2 56" xfId="59008" xr:uid="{00000000-0005-0000-0000-0000B4E60000}"/>
    <cellStyle name="Обычный 2 57" xfId="59009" xr:uid="{00000000-0005-0000-0000-0000B5E60000}"/>
    <cellStyle name="Обычный 2 58" xfId="59010" xr:uid="{00000000-0005-0000-0000-0000B6E60000}"/>
    <cellStyle name="Обычный 2 59" xfId="59011" xr:uid="{00000000-0005-0000-0000-0000B7E60000}"/>
    <cellStyle name="Обычный 2 6" xfId="59012" xr:uid="{00000000-0005-0000-0000-0000B8E60000}"/>
    <cellStyle name="Обычный 2 6 2" xfId="59013" xr:uid="{00000000-0005-0000-0000-0000B9E60000}"/>
    <cellStyle name="Обычный 2 6 3" xfId="59014" xr:uid="{00000000-0005-0000-0000-0000BAE60000}"/>
    <cellStyle name="Обычный 2 60" xfId="59015" xr:uid="{00000000-0005-0000-0000-0000BBE60000}"/>
    <cellStyle name="Обычный 2 61" xfId="59016" xr:uid="{00000000-0005-0000-0000-0000BCE60000}"/>
    <cellStyle name="Обычный 2 62" xfId="59017" xr:uid="{00000000-0005-0000-0000-0000BDE60000}"/>
    <cellStyle name="Обычный 2 63" xfId="59018" xr:uid="{00000000-0005-0000-0000-0000BEE60000}"/>
    <cellStyle name="Обычный 2 64" xfId="59019" xr:uid="{00000000-0005-0000-0000-0000BFE60000}"/>
    <cellStyle name="Обычный 2 65" xfId="59020" xr:uid="{00000000-0005-0000-0000-0000C0E60000}"/>
    <cellStyle name="Обычный 2 66" xfId="59021" xr:uid="{00000000-0005-0000-0000-0000C1E60000}"/>
    <cellStyle name="Обычный 2 67" xfId="59022" xr:uid="{00000000-0005-0000-0000-0000C2E60000}"/>
    <cellStyle name="Обычный 2 68" xfId="59023" xr:uid="{00000000-0005-0000-0000-0000C3E60000}"/>
    <cellStyle name="Обычный 2 69" xfId="59024" xr:uid="{00000000-0005-0000-0000-0000C4E60000}"/>
    <cellStyle name="Обычный 2 7" xfId="59025" xr:uid="{00000000-0005-0000-0000-0000C5E60000}"/>
    <cellStyle name="Обычный 2 7 2" xfId="59026" xr:uid="{00000000-0005-0000-0000-0000C6E60000}"/>
    <cellStyle name="Обычный 2 70" xfId="59027" xr:uid="{00000000-0005-0000-0000-0000C7E60000}"/>
    <cellStyle name="Обычный 2 71" xfId="59028" xr:uid="{00000000-0005-0000-0000-0000C8E60000}"/>
    <cellStyle name="Обычный 2 72" xfId="59029" xr:uid="{00000000-0005-0000-0000-0000C9E60000}"/>
    <cellStyle name="Обычный 2 73" xfId="59030" xr:uid="{00000000-0005-0000-0000-0000CAE60000}"/>
    <cellStyle name="Обычный 2 74" xfId="59031" xr:uid="{00000000-0005-0000-0000-0000CBE60000}"/>
    <cellStyle name="Обычный 2 75" xfId="59032" xr:uid="{00000000-0005-0000-0000-0000CCE60000}"/>
    <cellStyle name="Обычный 2 76" xfId="59033" xr:uid="{00000000-0005-0000-0000-0000CDE60000}"/>
    <cellStyle name="Обычный 2 77" xfId="59034" xr:uid="{00000000-0005-0000-0000-0000CEE60000}"/>
    <cellStyle name="Обычный 2 78" xfId="59035" xr:uid="{00000000-0005-0000-0000-0000CFE60000}"/>
    <cellStyle name="Обычный 2 79" xfId="59036" xr:uid="{00000000-0005-0000-0000-0000D0E60000}"/>
    <cellStyle name="Обычный 2 8" xfId="59037" xr:uid="{00000000-0005-0000-0000-0000D1E60000}"/>
    <cellStyle name="Обычный 2 80" xfId="59038" xr:uid="{00000000-0005-0000-0000-0000D2E60000}"/>
    <cellStyle name="Обычный 2 81" xfId="59039" xr:uid="{00000000-0005-0000-0000-0000D3E60000}"/>
    <cellStyle name="Обычный 2 82" xfId="59040" xr:uid="{00000000-0005-0000-0000-0000D4E60000}"/>
    <cellStyle name="Обычный 2 83" xfId="59041" xr:uid="{00000000-0005-0000-0000-0000D5E60000}"/>
    <cellStyle name="Обычный 2 84" xfId="59042" xr:uid="{00000000-0005-0000-0000-0000D6E60000}"/>
    <cellStyle name="Обычный 2 85" xfId="59043" xr:uid="{00000000-0005-0000-0000-0000D7E60000}"/>
    <cellStyle name="Обычный 2 86" xfId="59044" xr:uid="{00000000-0005-0000-0000-0000D8E60000}"/>
    <cellStyle name="Обычный 2 87" xfId="59045" xr:uid="{00000000-0005-0000-0000-0000D9E60000}"/>
    <cellStyle name="Обычный 2 88" xfId="59046" xr:uid="{00000000-0005-0000-0000-0000DAE60000}"/>
    <cellStyle name="Обычный 2 89" xfId="59047" xr:uid="{00000000-0005-0000-0000-0000DBE60000}"/>
    <cellStyle name="Обычный 2 9" xfId="59048" xr:uid="{00000000-0005-0000-0000-0000DCE60000}"/>
    <cellStyle name="Обычный 2 90" xfId="59049" xr:uid="{00000000-0005-0000-0000-0000DDE60000}"/>
    <cellStyle name="Обычный 2 91" xfId="59050" xr:uid="{00000000-0005-0000-0000-0000DEE60000}"/>
    <cellStyle name="Обычный 2 92" xfId="59051" xr:uid="{00000000-0005-0000-0000-0000DFE60000}"/>
    <cellStyle name="Обычный 2 93" xfId="59052" xr:uid="{00000000-0005-0000-0000-0000E0E60000}"/>
    <cellStyle name="Обычный 2 94" xfId="59053" xr:uid="{00000000-0005-0000-0000-0000E1E60000}"/>
    <cellStyle name="Обычный 2 95" xfId="59054" xr:uid="{00000000-0005-0000-0000-0000E2E60000}"/>
    <cellStyle name="Обычный 2 96" xfId="59055" xr:uid="{00000000-0005-0000-0000-0000E3E60000}"/>
    <cellStyle name="Обычный 2 97" xfId="59056" xr:uid="{00000000-0005-0000-0000-0000E4E60000}"/>
    <cellStyle name="Обычный 2 98" xfId="59057" xr:uid="{00000000-0005-0000-0000-0000E5E60000}"/>
    <cellStyle name="Обычный 2 99" xfId="59058" xr:uid="{00000000-0005-0000-0000-0000E6E60000}"/>
    <cellStyle name="Обычный 2_npa105B" xfId="59059" xr:uid="{00000000-0005-0000-0000-0000E7E60000}"/>
    <cellStyle name="Обычный 20" xfId="59060" xr:uid="{00000000-0005-0000-0000-0000E8E60000}"/>
    <cellStyle name="Обычный 20 2" xfId="59061" xr:uid="{00000000-0005-0000-0000-0000E9E60000}"/>
    <cellStyle name="Обычный 20 2 2" xfId="59062" xr:uid="{00000000-0005-0000-0000-0000EAE60000}"/>
    <cellStyle name="Обычный 20 2 2 2" xfId="59063" xr:uid="{00000000-0005-0000-0000-0000EBE60000}"/>
    <cellStyle name="Обычный 20 2 2 2 2" xfId="59064" xr:uid="{00000000-0005-0000-0000-0000ECE60000}"/>
    <cellStyle name="Обычный 20 2 2 2 3" xfId="59065" xr:uid="{00000000-0005-0000-0000-0000EDE60000}"/>
    <cellStyle name="Обычный 20 2 2 3" xfId="59066" xr:uid="{00000000-0005-0000-0000-0000EEE60000}"/>
    <cellStyle name="Обычный 20 2 2 3 2" xfId="59067" xr:uid="{00000000-0005-0000-0000-0000EFE60000}"/>
    <cellStyle name="Обычный 20 2 2 3 3" xfId="59068" xr:uid="{00000000-0005-0000-0000-0000F0E60000}"/>
    <cellStyle name="Обычный 20 2 2 4" xfId="59069" xr:uid="{00000000-0005-0000-0000-0000F1E60000}"/>
    <cellStyle name="Обычный 20 2 2 5" xfId="59070" xr:uid="{00000000-0005-0000-0000-0000F2E60000}"/>
    <cellStyle name="Обычный 20 2 3" xfId="59071" xr:uid="{00000000-0005-0000-0000-0000F3E60000}"/>
    <cellStyle name="Обычный 20 2 3 2" xfId="59072" xr:uid="{00000000-0005-0000-0000-0000F4E60000}"/>
    <cellStyle name="Обычный 20 2 3 3" xfId="59073" xr:uid="{00000000-0005-0000-0000-0000F5E60000}"/>
    <cellStyle name="Обычный 20 2 4" xfId="59074" xr:uid="{00000000-0005-0000-0000-0000F6E60000}"/>
    <cellStyle name="Обычный 20 2 4 2" xfId="59075" xr:uid="{00000000-0005-0000-0000-0000F7E60000}"/>
    <cellStyle name="Обычный 20 2 4 3" xfId="59076" xr:uid="{00000000-0005-0000-0000-0000F8E60000}"/>
    <cellStyle name="Обычный 20 2 5" xfId="59077" xr:uid="{00000000-0005-0000-0000-0000F9E60000}"/>
    <cellStyle name="Обычный 20 2 6" xfId="59078" xr:uid="{00000000-0005-0000-0000-0000FAE60000}"/>
    <cellStyle name="Обычный 20 2_объемы 2018г111" xfId="59079" xr:uid="{00000000-0005-0000-0000-0000FBE60000}"/>
    <cellStyle name="Обычный 20 3" xfId="59080" xr:uid="{00000000-0005-0000-0000-0000FCE60000}"/>
    <cellStyle name="Обычный 20 3 2" xfId="59081" xr:uid="{00000000-0005-0000-0000-0000FDE60000}"/>
    <cellStyle name="Обычный 20 3 2 2" xfId="59082" xr:uid="{00000000-0005-0000-0000-0000FEE60000}"/>
    <cellStyle name="Обычный 20 3 2 3" xfId="59083" xr:uid="{00000000-0005-0000-0000-0000FFE60000}"/>
    <cellStyle name="Обычный 20 3 3" xfId="59084" xr:uid="{00000000-0005-0000-0000-000000E70000}"/>
    <cellStyle name="Обычный 20 3 3 2" xfId="59085" xr:uid="{00000000-0005-0000-0000-000001E70000}"/>
    <cellStyle name="Обычный 20 3 3 3" xfId="59086" xr:uid="{00000000-0005-0000-0000-000002E70000}"/>
    <cellStyle name="Обычный 20 3 4" xfId="59087" xr:uid="{00000000-0005-0000-0000-000003E70000}"/>
    <cellStyle name="Обычный 20 3 5" xfId="59088" xr:uid="{00000000-0005-0000-0000-000004E70000}"/>
    <cellStyle name="Обычный 20 4" xfId="59089" xr:uid="{00000000-0005-0000-0000-000005E70000}"/>
    <cellStyle name="Обычный 20 4 2" xfId="59090" xr:uid="{00000000-0005-0000-0000-000006E70000}"/>
    <cellStyle name="Обычный 20 4 2 2" xfId="59091" xr:uid="{00000000-0005-0000-0000-000007E70000}"/>
    <cellStyle name="Обычный 20 4 2 3" xfId="59092" xr:uid="{00000000-0005-0000-0000-000008E70000}"/>
    <cellStyle name="Обычный 20 4 3" xfId="59093" xr:uid="{00000000-0005-0000-0000-000009E70000}"/>
    <cellStyle name="Обычный 20 4 3 2" xfId="59094" xr:uid="{00000000-0005-0000-0000-00000AE70000}"/>
    <cellStyle name="Обычный 20 4 4" xfId="59095" xr:uid="{00000000-0005-0000-0000-00000BE70000}"/>
    <cellStyle name="Обычный 20 4 5" xfId="59096" xr:uid="{00000000-0005-0000-0000-00000CE70000}"/>
    <cellStyle name="Обычный 20 4 5 2" xfId="59097" xr:uid="{00000000-0005-0000-0000-00000DE70000}"/>
    <cellStyle name="Обычный 20 4 5 3" xfId="59098" xr:uid="{00000000-0005-0000-0000-00000EE70000}"/>
    <cellStyle name="Обычный 20 4 5 3 2" xfId="59099" xr:uid="{00000000-0005-0000-0000-00000FE70000}"/>
    <cellStyle name="Обычный 20 4 5 4" xfId="59100" xr:uid="{00000000-0005-0000-0000-000010E70000}"/>
    <cellStyle name="Обычный 20 4 6" xfId="59101" xr:uid="{00000000-0005-0000-0000-000011E70000}"/>
    <cellStyle name="Обычный 20 5" xfId="59102" xr:uid="{00000000-0005-0000-0000-000012E70000}"/>
    <cellStyle name="Обычный 20 5 2" xfId="59103" xr:uid="{00000000-0005-0000-0000-000013E70000}"/>
    <cellStyle name="Обычный 20 5 3" xfId="59104" xr:uid="{00000000-0005-0000-0000-000014E70000}"/>
    <cellStyle name="Обычный 20 6" xfId="59105" xr:uid="{00000000-0005-0000-0000-000015E70000}"/>
    <cellStyle name="Обычный 20 6 2" xfId="59106" xr:uid="{00000000-0005-0000-0000-000016E70000}"/>
    <cellStyle name="Обычный 20 6 3" xfId="59107" xr:uid="{00000000-0005-0000-0000-000017E70000}"/>
    <cellStyle name="Обычный 20 7" xfId="59108" xr:uid="{00000000-0005-0000-0000-000018E70000}"/>
    <cellStyle name="Обычный 20 7 2" xfId="59109" xr:uid="{00000000-0005-0000-0000-000019E70000}"/>
    <cellStyle name="Обычный 20 8" xfId="59110" xr:uid="{00000000-0005-0000-0000-00001AE70000}"/>
    <cellStyle name="Обычный 20 9" xfId="59111" xr:uid="{00000000-0005-0000-0000-00001BE70000}"/>
    <cellStyle name="Обычный 20_объемы 2018г111" xfId="59112" xr:uid="{00000000-0005-0000-0000-00001CE70000}"/>
    <cellStyle name="Обычный 21" xfId="59113" xr:uid="{00000000-0005-0000-0000-00001DE70000}"/>
    <cellStyle name="Обычный 21 2" xfId="59114" xr:uid="{00000000-0005-0000-0000-00001EE70000}"/>
    <cellStyle name="Обычный 21 2 2" xfId="59115" xr:uid="{00000000-0005-0000-0000-00001FE70000}"/>
    <cellStyle name="Обычный 21 2 2 2" xfId="59116" xr:uid="{00000000-0005-0000-0000-000020E70000}"/>
    <cellStyle name="Обычный 21 2 2 2 2" xfId="59117" xr:uid="{00000000-0005-0000-0000-000021E70000}"/>
    <cellStyle name="Обычный 21 2 2 2 3" xfId="59118" xr:uid="{00000000-0005-0000-0000-000022E70000}"/>
    <cellStyle name="Обычный 21 2 2 3" xfId="59119" xr:uid="{00000000-0005-0000-0000-000023E70000}"/>
    <cellStyle name="Обычный 21 2 2 3 2" xfId="59120" xr:uid="{00000000-0005-0000-0000-000024E70000}"/>
    <cellStyle name="Обычный 21 2 2 3 3" xfId="59121" xr:uid="{00000000-0005-0000-0000-000025E70000}"/>
    <cellStyle name="Обычный 21 2 2 4" xfId="59122" xr:uid="{00000000-0005-0000-0000-000026E70000}"/>
    <cellStyle name="Обычный 21 2 2 5" xfId="59123" xr:uid="{00000000-0005-0000-0000-000027E70000}"/>
    <cellStyle name="Обычный 21 2 3" xfId="59124" xr:uid="{00000000-0005-0000-0000-000028E70000}"/>
    <cellStyle name="Обычный 21 2 3 2" xfId="59125" xr:uid="{00000000-0005-0000-0000-000029E70000}"/>
    <cellStyle name="Обычный 21 2 3 3" xfId="59126" xr:uid="{00000000-0005-0000-0000-00002AE70000}"/>
    <cellStyle name="Обычный 21 2 4" xfId="59127" xr:uid="{00000000-0005-0000-0000-00002BE70000}"/>
    <cellStyle name="Обычный 21 2 4 2" xfId="59128" xr:uid="{00000000-0005-0000-0000-00002CE70000}"/>
    <cellStyle name="Обычный 21 2 4 3" xfId="59129" xr:uid="{00000000-0005-0000-0000-00002DE70000}"/>
    <cellStyle name="Обычный 21 2 5" xfId="59130" xr:uid="{00000000-0005-0000-0000-00002EE70000}"/>
    <cellStyle name="Обычный 21 2 6" xfId="59131" xr:uid="{00000000-0005-0000-0000-00002FE70000}"/>
    <cellStyle name="Обычный 21 2_объемы 2018г111" xfId="59132" xr:uid="{00000000-0005-0000-0000-000030E70000}"/>
    <cellStyle name="Обычный 21 3" xfId="59133" xr:uid="{00000000-0005-0000-0000-000031E70000}"/>
    <cellStyle name="Обычный 21 3 2" xfId="59134" xr:uid="{00000000-0005-0000-0000-000032E70000}"/>
    <cellStyle name="Обычный 21 3 2 2" xfId="59135" xr:uid="{00000000-0005-0000-0000-000033E70000}"/>
    <cellStyle name="Обычный 21 3 2 3" xfId="59136" xr:uid="{00000000-0005-0000-0000-000034E70000}"/>
    <cellStyle name="Обычный 21 3 3" xfId="59137" xr:uid="{00000000-0005-0000-0000-000035E70000}"/>
    <cellStyle name="Обычный 21 3 3 2" xfId="59138" xr:uid="{00000000-0005-0000-0000-000036E70000}"/>
    <cellStyle name="Обычный 21 3 3 3" xfId="59139" xr:uid="{00000000-0005-0000-0000-000037E70000}"/>
    <cellStyle name="Обычный 21 3 4" xfId="59140" xr:uid="{00000000-0005-0000-0000-000038E70000}"/>
    <cellStyle name="Обычный 21 3 5" xfId="59141" xr:uid="{00000000-0005-0000-0000-000039E70000}"/>
    <cellStyle name="Обычный 21 4" xfId="59142" xr:uid="{00000000-0005-0000-0000-00003AE70000}"/>
    <cellStyle name="Обычный 21 4 2" xfId="59143" xr:uid="{00000000-0005-0000-0000-00003BE70000}"/>
    <cellStyle name="Обычный 21 4 3" xfId="59144" xr:uid="{00000000-0005-0000-0000-00003CE70000}"/>
    <cellStyle name="Обычный 21 5" xfId="59145" xr:uid="{00000000-0005-0000-0000-00003DE70000}"/>
    <cellStyle name="Обычный 21 5 2" xfId="59146" xr:uid="{00000000-0005-0000-0000-00003EE70000}"/>
    <cellStyle name="Обычный 21 5 3" xfId="59147" xr:uid="{00000000-0005-0000-0000-00003FE70000}"/>
    <cellStyle name="Обычный 21 6" xfId="59148" xr:uid="{00000000-0005-0000-0000-000040E70000}"/>
    <cellStyle name="Обычный 21 7" xfId="59149" xr:uid="{00000000-0005-0000-0000-000041E70000}"/>
    <cellStyle name="Обычный 21_объемы 2018г111" xfId="59150" xr:uid="{00000000-0005-0000-0000-000042E70000}"/>
    <cellStyle name="Обычный 22" xfId="59151" xr:uid="{00000000-0005-0000-0000-000043E70000}"/>
    <cellStyle name="Обычный 22 2" xfId="59152" xr:uid="{00000000-0005-0000-0000-000044E70000}"/>
    <cellStyle name="Обычный 22 2 2" xfId="59153" xr:uid="{00000000-0005-0000-0000-000045E70000}"/>
    <cellStyle name="Обычный 22 2 2 2" xfId="59154" xr:uid="{00000000-0005-0000-0000-000046E70000}"/>
    <cellStyle name="Обычный 22 2 2 3" xfId="59155" xr:uid="{00000000-0005-0000-0000-000047E70000}"/>
    <cellStyle name="Обычный 22 2 3" xfId="59156" xr:uid="{00000000-0005-0000-0000-000048E70000}"/>
    <cellStyle name="Обычный 22 2 3 2" xfId="59157" xr:uid="{00000000-0005-0000-0000-000049E70000}"/>
    <cellStyle name="Обычный 22 2 3 3" xfId="59158" xr:uid="{00000000-0005-0000-0000-00004AE70000}"/>
    <cellStyle name="Обычный 22 2 4" xfId="59159" xr:uid="{00000000-0005-0000-0000-00004BE70000}"/>
    <cellStyle name="Обычный 22 2 5" xfId="59160" xr:uid="{00000000-0005-0000-0000-00004CE70000}"/>
    <cellStyle name="Обычный 22 3" xfId="59161" xr:uid="{00000000-0005-0000-0000-00004DE70000}"/>
    <cellStyle name="Обычный 22 3 2" xfId="59162" xr:uid="{00000000-0005-0000-0000-00004EE70000}"/>
    <cellStyle name="Обычный 22 3 2 2" xfId="59163" xr:uid="{00000000-0005-0000-0000-00004FE70000}"/>
    <cellStyle name="Обычный 22 3 2 3" xfId="59164" xr:uid="{00000000-0005-0000-0000-000050E70000}"/>
    <cellStyle name="Обычный 22 3 3" xfId="59165" xr:uid="{00000000-0005-0000-0000-000051E70000}"/>
    <cellStyle name="Обычный 22 3 3 2" xfId="59166" xr:uid="{00000000-0005-0000-0000-000052E70000}"/>
    <cellStyle name="Обычный 22 3 3 3" xfId="59167" xr:uid="{00000000-0005-0000-0000-000053E70000}"/>
    <cellStyle name="Обычный 22 3 4" xfId="59168" xr:uid="{00000000-0005-0000-0000-000054E70000}"/>
    <cellStyle name="Обычный 22 3 5" xfId="59169" xr:uid="{00000000-0005-0000-0000-000055E70000}"/>
    <cellStyle name="Обычный 22 4" xfId="59170" xr:uid="{00000000-0005-0000-0000-000056E70000}"/>
    <cellStyle name="Обычный 22 4 2" xfId="59171" xr:uid="{00000000-0005-0000-0000-000057E70000}"/>
    <cellStyle name="Обычный 22 4 3" xfId="59172" xr:uid="{00000000-0005-0000-0000-000058E70000}"/>
    <cellStyle name="Обычный 22 5" xfId="59173" xr:uid="{00000000-0005-0000-0000-000059E70000}"/>
    <cellStyle name="Обычный 22 5 2" xfId="59174" xr:uid="{00000000-0005-0000-0000-00005AE70000}"/>
    <cellStyle name="Обычный 22 5 3" xfId="59175" xr:uid="{00000000-0005-0000-0000-00005BE70000}"/>
    <cellStyle name="Обычный 22 6" xfId="59176" xr:uid="{00000000-0005-0000-0000-00005CE70000}"/>
    <cellStyle name="Обычный 22 7" xfId="59177" xr:uid="{00000000-0005-0000-0000-00005DE70000}"/>
    <cellStyle name="Обычный 22_объемы 2018г111" xfId="59178" xr:uid="{00000000-0005-0000-0000-00005EE70000}"/>
    <cellStyle name="Обычный 23" xfId="59179" xr:uid="{00000000-0005-0000-0000-00005FE70000}"/>
    <cellStyle name="Обычный 23 2" xfId="59180" xr:uid="{00000000-0005-0000-0000-000060E70000}"/>
    <cellStyle name="Обычный 23 3" xfId="59181" xr:uid="{00000000-0005-0000-0000-000061E70000}"/>
    <cellStyle name="Обычный 23 3 2" xfId="59182" xr:uid="{00000000-0005-0000-0000-000062E70000}"/>
    <cellStyle name="Обычный 23 3 3" xfId="59183" xr:uid="{00000000-0005-0000-0000-000063E70000}"/>
    <cellStyle name="Обычный 23 4" xfId="59184" xr:uid="{00000000-0005-0000-0000-000064E70000}"/>
    <cellStyle name="Обычный 23 4 2" xfId="59185" xr:uid="{00000000-0005-0000-0000-000065E70000}"/>
    <cellStyle name="Обычный 23 4 3" xfId="59186" xr:uid="{00000000-0005-0000-0000-000066E70000}"/>
    <cellStyle name="Обычный 23 5" xfId="59187" xr:uid="{00000000-0005-0000-0000-000067E70000}"/>
    <cellStyle name="Обычный 23 6" xfId="59188" xr:uid="{00000000-0005-0000-0000-000068E70000}"/>
    <cellStyle name="Обычный 23_объемы 2018г111" xfId="59189" xr:uid="{00000000-0005-0000-0000-000069E70000}"/>
    <cellStyle name="Обычный 24" xfId="59190" xr:uid="{00000000-0005-0000-0000-00006AE70000}"/>
    <cellStyle name="Обычный 24 2" xfId="59191" xr:uid="{00000000-0005-0000-0000-00006BE70000}"/>
    <cellStyle name="Обычный 24 3" xfId="59192" xr:uid="{00000000-0005-0000-0000-00006CE70000}"/>
    <cellStyle name="Обычный 24 3 2" xfId="59193" xr:uid="{00000000-0005-0000-0000-00006DE70000}"/>
    <cellStyle name="Обычный 24 3 3" xfId="59194" xr:uid="{00000000-0005-0000-0000-00006EE70000}"/>
    <cellStyle name="Обычный 24 4" xfId="59195" xr:uid="{00000000-0005-0000-0000-00006FE70000}"/>
    <cellStyle name="Обычный 24 4 2" xfId="59196" xr:uid="{00000000-0005-0000-0000-000070E70000}"/>
    <cellStyle name="Обычный 24 4 3" xfId="59197" xr:uid="{00000000-0005-0000-0000-000071E70000}"/>
    <cellStyle name="Обычный 24 5" xfId="59198" xr:uid="{00000000-0005-0000-0000-000072E70000}"/>
    <cellStyle name="Обычный 24 6" xfId="59199" xr:uid="{00000000-0005-0000-0000-000073E70000}"/>
    <cellStyle name="Обычный 24_объемы 2018г111" xfId="59200" xr:uid="{00000000-0005-0000-0000-000074E70000}"/>
    <cellStyle name="Обычный 25" xfId="59201" xr:uid="{00000000-0005-0000-0000-000075E70000}"/>
    <cellStyle name="Обычный 25 2" xfId="59202" xr:uid="{00000000-0005-0000-0000-000076E70000}"/>
    <cellStyle name="Обычный 25 2 2" xfId="59203" xr:uid="{00000000-0005-0000-0000-000077E70000}"/>
    <cellStyle name="Обычный 25 2 3" xfId="59204" xr:uid="{00000000-0005-0000-0000-000078E70000}"/>
    <cellStyle name="Обычный 25 3" xfId="59205" xr:uid="{00000000-0005-0000-0000-000079E70000}"/>
    <cellStyle name="Обычный 25 3 2" xfId="59206" xr:uid="{00000000-0005-0000-0000-00007AE70000}"/>
    <cellStyle name="Обычный 25 3 3" xfId="59207" xr:uid="{00000000-0005-0000-0000-00007BE70000}"/>
    <cellStyle name="Обычный 25 4" xfId="59208" xr:uid="{00000000-0005-0000-0000-00007CE70000}"/>
    <cellStyle name="Обычный 25 5" xfId="59209" xr:uid="{00000000-0005-0000-0000-00007DE70000}"/>
    <cellStyle name="Обычный 26" xfId="59210" xr:uid="{00000000-0005-0000-0000-00007EE70000}"/>
    <cellStyle name="Обычный 26 10" xfId="59211" xr:uid="{00000000-0005-0000-0000-00007FE70000}"/>
    <cellStyle name="Обычный 26 11" xfId="59212" xr:uid="{00000000-0005-0000-0000-000080E70000}"/>
    <cellStyle name="Обычный 26 12" xfId="59213" xr:uid="{00000000-0005-0000-0000-000081E70000}"/>
    <cellStyle name="Обычный 26 13" xfId="59214" xr:uid="{00000000-0005-0000-0000-000082E70000}"/>
    <cellStyle name="Обычный 26 14" xfId="59215" xr:uid="{00000000-0005-0000-0000-000083E70000}"/>
    <cellStyle name="Обычный 26 15" xfId="59216" xr:uid="{00000000-0005-0000-0000-000084E70000}"/>
    <cellStyle name="Обычный 26 2" xfId="59217" xr:uid="{00000000-0005-0000-0000-000085E70000}"/>
    <cellStyle name="Обычный 26 2 2" xfId="59218" xr:uid="{00000000-0005-0000-0000-000086E70000}"/>
    <cellStyle name="Обычный 26 2 2 2" xfId="59219" xr:uid="{00000000-0005-0000-0000-000087E70000}"/>
    <cellStyle name="Обычный 26 2 3" xfId="59220" xr:uid="{00000000-0005-0000-0000-000088E70000}"/>
    <cellStyle name="Обычный 26 3" xfId="59221" xr:uid="{00000000-0005-0000-0000-000089E70000}"/>
    <cellStyle name="Обычный 26 3 2" xfId="59222" xr:uid="{00000000-0005-0000-0000-00008AE70000}"/>
    <cellStyle name="Обычный 26 3 3" xfId="59223" xr:uid="{00000000-0005-0000-0000-00008BE70000}"/>
    <cellStyle name="Обычный 26 4" xfId="59224" xr:uid="{00000000-0005-0000-0000-00008CE70000}"/>
    <cellStyle name="Обычный 26 4 2" xfId="59225" xr:uid="{00000000-0005-0000-0000-00008DE70000}"/>
    <cellStyle name="Обычный 26 4 2 2" xfId="59226" xr:uid="{00000000-0005-0000-0000-00008EE70000}"/>
    <cellStyle name="Обычный 26 4 3" xfId="59227" xr:uid="{00000000-0005-0000-0000-00008FE70000}"/>
    <cellStyle name="Обычный 26 5" xfId="59228" xr:uid="{00000000-0005-0000-0000-000090E70000}"/>
    <cellStyle name="Обычный 26 5 2" xfId="59229" xr:uid="{00000000-0005-0000-0000-000091E70000}"/>
    <cellStyle name="Обычный 26 6" xfId="59230" xr:uid="{00000000-0005-0000-0000-000092E70000}"/>
    <cellStyle name="Обычный 26 6 2" xfId="59231" xr:uid="{00000000-0005-0000-0000-000093E70000}"/>
    <cellStyle name="Обычный 26 7" xfId="59232" xr:uid="{00000000-0005-0000-0000-000094E70000}"/>
    <cellStyle name="Обычный 26 8" xfId="59233" xr:uid="{00000000-0005-0000-0000-000095E70000}"/>
    <cellStyle name="Обычный 26 9" xfId="59234" xr:uid="{00000000-0005-0000-0000-000096E70000}"/>
    <cellStyle name="Обычный 27" xfId="59235" xr:uid="{00000000-0005-0000-0000-000097E70000}"/>
    <cellStyle name="Обычный 27 2" xfId="59236" xr:uid="{00000000-0005-0000-0000-000098E70000}"/>
    <cellStyle name="Обычный 27 2 2" xfId="59237" xr:uid="{00000000-0005-0000-0000-000099E70000}"/>
    <cellStyle name="Обычный 27 2 2 2" xfId="59238" xr:uid="{00000000-0005-0000-0000-00009AE70000}"/>
    <cellStyle name="Обычный 27 2 3" xfId="59239" xr:uid="{00000000-0005-0000-0000-00009BE70000}"/>
    <cellStyle name="Обычный 27 3" xfId="59240" xr:uid="{00000000-0005-0000-0000-00009CE70000}"/>
    <cellStyle name="Обычный 27 3 2" xfId="59241" xr:uid="{00000000-0005-0000-0000-00009DE70000}"/>
    <cellStyle name="Обычный 27 3 3" xfId="59242" xr:uid="{00000000-0005-0000-0000-00009EE70000}"/>
    <cellStyle name="Обычный 27 4" xfId="59243" xr:uid="{00000000-0005-0000-0000-00009FE70000}"/>
    <cellStyle name="Обычный 27 4 2" xfId="59244" xr:uid="{00000000-0005-0000-0000-0000A0E70000}"/>
    <cellStyle name="Обычный 27 5" xfId="59245" xr:uid="{00000000-0005-0000-0000-0000A1E70000}"/>
    <cellStyle name="Обычный 27 6" xfId="59246" xr:uid="{00000000-0005-0000-0000-0000A2E70000}"/>
    <cellStyle name="Обычный 27 7" xfId="59247" xr:uid="{00000000-0005-0000-0000-0000A3E70000}"/>
    <cellStyle name="Обычный 27 8" xfId="59248" xr:uid="{00000000-0005-0000-0000-0000A4E70000}"/>
    <cellStyle name="Обычный 27 9" xfId="59249" xr:uid="{00000000-0005-0000-0000-0000A5E70000}"/>
    <cellStyle name="Обычный 28" xfId="59250" xr:uid="{00000000-0005-0000-0000-0000A6E70000}"/>
    <cellStyle name="Обычный 28 2" xfId="59251" xr:uid="{00000000-0005-0000-0000-0000A7E70000}"/>
    <cellStyle name="Обычный 28 2 2" xfId="59252" xr:uid="{00000000-0005-0000-0000-0000A8E70000}"/>
    <cellStyle name="Обычный 28 2 2 2" xfId="59253" xr:uid="{00000000-0005-0000-0000-0000A9E70000}"/>
    <cellStyle name="Обычный 28 2 3" xfId="59254" xr:uid="{00000000-0005-0000-0000-0000AAE70000}"/>
    <cellStyle name="Обычный 28 3" xfId="59255" xr:uid="{00000000-0005-0000-0000-0000ABE70000}"/>
    <cellStyle name="Обычный 28 3 2" xfId="59256" xr:uid="{00000000-0005-0000-0000-0000ACE70000}"/>
    <cellStyle name="Обычный 28 3 3" xfId="59257" xr:uid="{00000000-0005-0000-0000-0000ADE70000}"/>
    <cellStyle name="Обычный 28 4" xfId="59258" xr:uid="{00000000-0005-0000-0000-0000AEE70000}"/>
    <cellStyle name="Обычный 28 4 2" xfId="59259" xr:uid="{00000000-0005-0000-0000-0000AFE70000}"/>
    <cellStyle name="Обычный 28 5" xfId="59260" xr:uid="{00000000-0005-0000-0000-0000B0E70000}"/>
    <cellStyle name="Обычный 28 6" xfId="59261" xr:uid="{00000000-0005-0000-0000-0000B1E70000}"/>
    <cellStyle name="Обычный 28 7" xfId="59262" xr:uid="{00000000-0005-0000-0000-0000B2E70000}"/>
    <cellStyle name="Обычный 28 8" xfId="59263" xr:uid="{00000000-0005-0000-0000-0000B3E70000}"/>
    <cellStyle name="Обычный 28 9" xfId="59264" xr:uid="{00000000-0005-0000-0000-0000B4E70000}"/>
    <cellStyle name="Обычный 29" xfId="59265" xr:uid="{00000000-0005-0000-0000-0000B5E70000}"/>
    <cellStyle name="Обычный 29 2" xfId="59266" xr:uid="{00000000-0005-0000-0000-0000B6E70000}"/>
    <cellStyle name="Обычный 29 2 2" xfId="59267" xr:uid="{00000000-0005-0000-0000-0000B7E70000}"/>
    <cellStyle name="Обычный 29 2 2 2" xfId="59268" xr:uid="{00000000-0005-0000-0000-0000B8E70000}"/>
    <cellStyle name="Обычный 29 2 3" xfId="59269" xr:uid="{00000000-0005-0000-0000-0000B9E70000}"/>
    <cellStyle name="Обычный 29 3" xfId="59270" xr:uid="{00000000-0005-0000-0000-0000BAE70000}"/>
    <cellStyle name="Обычный 29 3 2" xfId="59271" xr:uid="{00000000-0005-0000-0000-0000BBE70000}"/>
    <cellStyle name="Обычный 29 3 3" xfId="59272" xr:uid="{00000000-0005-0000-0000-0000BCE70000}"/>
    <cellStyle name="Обычный 29 4" xfId="59273" xr:uid="{00000000-0005-0000-0000-0000BDE70000}"/>
    <cellStyle name="Обычный 29 4 2" xfId="59274" xr:uid="{00000000-0005-0000-0000-0000BEE70000}"/>
    <cellStyle name="Обычный 29 5" xfId="59275" xr:uid="{00000000-0005-0000-0000-0000BFE70000}"/>
    <cellStyle name="Обычный 29 6" xfId="59276" xr:uid="{00000000-0005-0000-0000-0000C0E70000}"/>
    <cellStyle name="Обычный 29 7" xfId="59277" xr:uid="{00000000-0005-0000-0000-0000C1E70000}"/>
    <cellStyle name="Обычный 29 8" xfId="59278" xr:uid="{00000000-0005-0000-0000-0000C2E70000}"/>
    <cellStyle name="Обычный 29 9" xfId="59279" xr:uid="{00000000-0005-0000-0000-0000C3E70000}"/>
    <cellStyle name="Обычный 3" xfId="59280" xr:uid="{00000000-0005-0000-0000-0000C4E70000}"/>
    <cellStyle name="Обычный 3 10" xfId="59281" xr:uid="{00000000-0005-0000-0000-0000C5E70000}"/>
    <cellStyle name="Обычный 3 10 2" xfId="59282" xr:uid="{00000000-0005-0000-0000-0000C6E70000}"/>
    <cellStyle name="Обычный 3 10 2 2" xfId="59283" xr:uid="{00000000-0005-0000-0000-0000C7E70000}"/>
    <cellStyle name="Обычный 3 10 2 3" xfId="59284" xr:uid="{00000000-0005-0000-0000-0000C8E70000}"/>
    <cellStyle name="Обычный 3 10 3" xfId="59285" xr:uid="{00000000-0005-0000-0000-0000C9E70000}"/>
    <cellStyle name="Обычный 3 10 3 2" xfId="59286" xr:uid="{00000000-0005-0000-0000-0000CAE70000}"/>
    <cellStyle name="Обычный 3 10 3 3" xfId="59287" xr:uid="{00000000-0005-0000-0000-0000CBE70000}"/>
    <cellStyle name="Обычный 3 10 4" xfId="59288" xr:uid="{00000000-0005-0000-0000-0000CCE70000}"/>
    <cellStyle name="Обычный 3 10 5" xfId="59289" xr:uid="{00000000-0005-0000-0000-0000CDE70000}"/>
    <cellStyle name="Обычный 3 11" xfId="59290" xr:uid="{00000000-0005-0000-0000-0000CEE70000}"/>
    <cellStyle name="Обычный 3 11 2" xfId="59291" xr:uid="{00000000-0005-0000-0000-0000CFE70000}"/>
    <cellStyle name="Обычный 3 11 2 2" xfId="59292" xr:uid="{00000000-0005-0000-0000-0000D0E70000}"/>
    <cellStyle name="Обычный 3 11 2 3" xfId="59293" xr:uid="{00000000-0005-0000-0000-0000D1E70000}"/>
    <cellStyle name="Обычный 3 11 3" xfId="59294" xr:uid="{00000000-0005-0000-0000-0000D2E70000}"/>
    <cellStyle name="Обычный 3 11 3 2" xfId="59295" xr:uid="{00000000-0005-0000-0000-0000D3E70000}"/>
    <cellStyle name="Обычный 3 11 3 3" xfId="59296" xr:uid="{00000000-0005-0000-0000-0000D4E70000}"/>
    <cellStyle name="Обычный 3 11 4" xfId="59297" xr:uid="{00000000-0005-0000-0000-0000D5E70000}"/>
    <cellStyle name="Обычный 3 11 5" xfId="59298" xr:uid="{00000000-0005-0000-0000-0000D6E70000}"/>
    <cellStyle name="Обычный 3 12" xfId="59299" xr:uid="{00000000-0005-0000-0000-0000D7E70000}"/>
    <cellStyle name="Обычный 3 12 2" xfId="59300" xr:uid="{00000000-0005-0000-0000-0000D8E70000}"/>
    <cellStyle name="Обычный 3 12 2 2" xfId="59301" xr:uid="{00000000-0005-0000-0000-0000D9E70000}"/>
    <cellStyle name="Обычный 3 12 2 3" xfId="59302" xr:uid="{00000000-0005-0000-0000-0000DAE70000}"/>
    <cellStyle name="Обычный 3 12 3" xfId="59303" xr:uid="{00000000-0005-0000-0000-0000DBE70000}"/>
    <cellStyle name="Обычный 3 12 3 2" xfId="59304" xr:uid="{00000000-0005-0000-0000-0000DCE70000}"/>
    <cellStyle name="Обычный 3 12 3 3" xfId="59305" xr:uid="{00000000-0005-0000-0000-0000DDE70000}"/>
    <cellStyle name="Обычный 3 12 4" xfId="59306" xr:uid="{00000000-0005-0000-0000-0000DEE70000}"/>
    <cellStyle name="Обычный 3 12 5" xfId="59307" xr:uid="{00000000-0005-0000-0000-0000DFE70000}"/>
    <cellStyle name="Обычный 3 13" xfId="59308" xr:uid="{00000000-0005-0000-0000-0000E0E70000}"/>
    <cellStyle name="Обычный 3 13 2" xfId="59309" xr:uid="{00000000-0005-0000-0000-0000E1E70000}"/>
    <cellStyle name="Обычный 3 13 2 2" xfId="59310" xr:uid="{00000000-0005-0000-0000-0000E2E70000}"/>
    <cellStyle name="Обычный 3 13 2 3" xfId="59311" xr:uid="{00000000-0005-0000-0000-0000E3E70000}"/>
    <cellStyle name="Обычный 3 13 3" xfId="59312" xr:uid="{00000000-0005-0000-0000-0000E4E70000}"/>
    <cellStyle name="Обычный 3 13 3 2" xfId="59313" xr:uid="{00000000-0005-0000-0000-0000E5E70000}"/>
    <cellStyle name="Обычный 3 13 3 3" xfId="59314" xr:uid="{00000000-0005-0000-0000-0000E6E70000}"/>
    <cellStyle name="Обычный 3 13 4" xfId="59315" xr:uid="{00000000-0005-0000-0000-0000E7E70000}"/>
    <cellStyle name="Обычный 3 13 5" xfId="59316" xr:uid="{00000000-0005-0000-0000-0000E8E70000}"/>
    <cellStyle name="Обычный 3 14" xfId="59317" xr:uid="{00000000-0005-0000-0000-0000E9E70000}"/>
    <cellStyle name="Обычный 3 14 2" xfId="59318" xr:uid="{00000000-0005-0000-0000-0000EAE70000}"/>
    <cellStyle name="Обычный 3 14 2 2" xfId="59319" xr:uid="{00000000-0005-0000-0000-0000EBE70000}"/>
    <cellStyle name="Обычный 3 14 2 3" xfId="59320" xr:uid="{00000000-0005-0000-0000-0000ECE70000}"/>
    <cellStyle name="Обычный 3 14 3" xfId="59321" xr:uid="{00000000-0005-0000-0000-0000EDE70000}"/>
    <cellStyle name="Обычный 3 14 3 2" xfId="59322" xr:uid="{00000000-0005-0000-0000-0000EEE70000}"/>
    <cellStyle name="Обычный 3 14 3 3" xfId="59323" xr:uid="{00000000-0005-0000-0000-0000EFE70000}"/>
    <cellStyle name="Обычный 3 14 4" xfId="59324" xr:uid="{00000000-0005-0000-0000-0000F0E70000}"/>
    <cellStyle name="Обычный 3 14 5" xfId="59325" xr:uid="{00000000-0005-0000-0000-0000F1E70000}"/>
    <cellStyle name="Обычный 3 15" xfId="59326" xr:uid="{00000000-0005-0000-0000-0000F2E70000}"/>
    <cellStyle name="Обычный 3 15 2" xfId="59327" xr:uid="{00000000-0005-0000-0000-0000F3E70000}"/>
    <cellStyle name="Обычный 3 15 2 2" xfId="59328" xr:uid="{00000000-0005-0000-0000-0000F4E70000}"/>
    <cellStyle name="Обычный 3 15 2 3" xfId="59329" xr:uid="{00000000-0005-0000-0000-0000F5E70000}"/>
    <cellStyle name="Обычный 3 15 3" xfId="59330" xr:uid="{00000000-0005-0000-0000-0000F6E70000}"/>
    <cellStyle name="Обычный 3 15 3 2" xfId="59331" xr:uid="{00000000-0005-0000-0000-0000F7E70000}"/>
    <cellStyle name="Обычный 3 15 3 3" xfId="59332" xr:uid="{00000000-0005-0000-0000-0000F8E70000}"/>
    <cellStyle name="Обычный 3 15 4" xfId="59333" xr:uid="{00000000-0005-0000-0000-0000F9E70000}"/>
    <cellStyle name="Обычный 3 15 5" xfId="59334" xr:uid="{00000000-0005-0000-0000-0000FAE70000}"/>
    <cellStyle name="Обычный 3 16" xfId="59335" xr:uid="{00000000-0005-0000-0000-0000FBE70000}"/>
    <cellStyle name="Обычный 3 16 2" xfId="59336" xr:uid="{00000000-0005-0000-0000-0000FCE70000}"/>
    <cellStyle name="Обычный 3 16 2 2" xfId="59337" xr:uid="{00000000-0005-0000-0000-0000FDE70000}"/>
    <cellStyle name="Обычный 3 16 2 3" xfId="59338" xr:uid="{00000000-0005-0000-0000-0000FEE70000}"/>
    <cellStyle name="Обычный 3 16 3" xfId="59339" xr:uid="{00000000-0005-0000-0000-0000FFE70000}"/>
    <cellStyle name="Обычный 3 16 3 2" xfId="59340" xr:uid="{00000000-0005-0000-0000-000000E80000}"/>
    <cellStyle name="Обычный 3 16 3 3" xfId="59341" xr:uid="{00000000-0005-0000-0000-000001E80000}"/>
    <cellStyle name="Обычный 3 16 4" xfId="59342" xr:uid="{00000000-0005-0000-0000-000002E80000}"/>
    <cellStyle name="Обычный 3 16 5" xfId="59343" xr:uid="{00000000-0005-0000-0000-000003E80000}"/>
    <cellStyle name="Обычный 3 17" xfId="59344" xr:uid="{00000000-0005-0000-0000-000004E80000}"/>
    <cellStyle name="Обычный 3 17 2" xfId="59345" xr:uid="{00000000-0005-0000-0000-000005E80000}"/>
    <cellStyle name="Обычный 3 17 2 2" xfId="59346" xr:uid="{00000000-0005-0000-0000-000006E80000}"/>
    <cellStyle name="Обычный 3 17 2 3" xfId="59347" xr:uid="{00000000-0005-0000-0000-000007E80000}"/>
    <cellStyle name="Обычный 3 17 3" xfId="59348" xr:uid="{00000000-0005-0000-0000-000008E80000}"/>
    <cellStyle name="Обычный 3 17 3 2" xfId="59349" xr:uid="{00000000-0005-0000-0000-000009E80000}"/>
    <cellStyle name="Обычный 3 17 3 3" xfId="59350" xr:uid="{00000000-0005-0000-0000-00000AE80000}"/>
    <cellStyle name="Обычный 3 17 4" xfId="59351" xr:uid="{00000000-0005-0000-0000-00000BE80000}"/>
    <cellStyle name="Обычный 3 17 5" xfId="59352" xr:uid="{00000000-0005-0000-0000-00000CE80000}"/>
    <cellStyle name="Обычный 3 18" xfId="59353" xr:uid="{00000000-0005-0000-0000-00000DE80000}"/>
    <cellStyle name="Обычный 3 18 2" xfId="59354" xr:uid="{00000000-0005-0000-0000-00000EE80000}"/>
    <cellStyle name="Обычный 3 18 2 2" xfId="59355" xr:uid="{00000000-0005-0000-0000-00000FE80000}"/>
    <cellStyle name="Обычный 3 18 2 3" xfId="59356" xr:uid="{00000000-0005-0000-0000-000010E80000}"/>
    <cellStyle name="Обычный 3 18 3" xfId="59357" xr:uid="{00000000-0005-0000-0000-000011E80000}"/>
    <cellStyle name="Обычный 3 18 3 2" xfId="59358" xr:uid="{00000000-0005-0000-0000-000012E80000}"/>
    <cellStyle name="Обычный 3 18 3 3" xfId="59359" xr:uid="{00000000-0005-0000-0000-000013E80000}"/>
    <cellStyle name="Обычный 3 18 4" xfId="59360" xr:uid="{00000000-0005-0000-0000-000014E80000}"/>
    <cellStyle name="Обычный 3 18 5" xfId="59361" xr:uid="{00000000-0005-0000-0000-000015E80000}"/>
    <cellStyle name="Обычный 3 19" xfId="59362" xr:uid="{00000000-0005-0000-0000-000016E80000}"/>
    <cellStyle name="Обычный 3 19 2" xfId="59363" xr:uid="{00000000-0005-0000-0000-000017E80000}"/>
    <cellStyle name="Обычный 3 19 3" xfId="59364" xr:uid="{00000000-0005-0000-0000-000018E80000}"/>
    <cellStyle name="Обычный 3 2" xfId="59365" xr:uid="{00000000-0005-0000-0000-000019E80000}"/>
    <cellStyle name="Обычный 3 20" xfId="59366" xr:uid="{00000000-0005-0000-0000-00001AE80000}"/>
    <cellStyle name="Обычный 3 20 2" xfId="59367" xr:uid="{00000000-0005-0000-0000-00001BE80000}"/>
    <cellStyle name="Обычный 3 20 3" xfId="59368" xr:uid="{00000000-0005-0000-0000-00001CE80000}"/>
    <cellStyle name="Обычный 3 21" xfId="59369" xr:uid="{00000000-0005-0000-0000-00001DE80000}"/>
    <cellStyle name="Обычный 3 22" xfId="59370" xr:uid="{00000000-0005-0000-0000-00001EE80000}"/>
    <cellStyle name="Обычный 3 23" xfId="59371" xr:uid="{00000000-0005-0000-0000-00001FE80000}"/>
    <cellStyle name="Обычный 3 24" xfId="59372" xr:uid="{00000000-0005-0000-0000-000020E80000}"/>
    <cellStyle name="Обычный 3 3" xfId="59373" xr:uid="{00000000-0005-0000-0000-000021E80000}"/>
    <cellStyle name="Обычный 3 3 2" xfId="59374" xr:uid="{00000000-0005-0000-0000-000022E80000}"/>
    <cellStyle name="Обычный 3 3 3" xfId="59375" xr:uid="{00000000-0005-0000-0000-000023E80000}"/>
    <cellStyle name="Обычный 3 4" xfId="59376" xr:uid="{00000000-0005-0000-0000-000024E80000}"/>
    <cellStyle name="Обычный 3 4 2" xfId="59377" xr:uid="{00000000-0005-0000-0000-000025E80000}"/>
    <cellStyle name="Обычный 3 4 2 2" xfId="59378" xr:uid="{00000000-0005-0000-0000-000026E80000}"/>
    <cellStyle name="Обычный 3 4 2 2 2" xfId="59379" xr:uid="{00000000-0005-0000-0000-000027E80000}"/>
    <cellStyle name="Обычный 3 4 2 2 2 2" xfId="59380" xr:uid="{00000000-0005-0000-0000-000028E80000}"/>
    <cellStyle name="Обычный 3 4 2 2 2 3" xfId="59381" xr:uid="{00000000-0005-0000-0000-000029E80000}"/>
    <cellStyle name="Обычный 3 4 2 2 3" xfId="59382" xr:uid="{00000000-0005-0000-0000-00002AE80000}"/>
    <cellStyle name="Обычный 3 4 2 2 3 2" xfId="59383" xr:uid="{00000000-0005-0000-0000-00002BE80000}"/>
    <cellStyle name="Обычный 3 4 2 2 3 3" xfId="59384" xr:uid="{00000000-0005-0000-0000-00002CE80000}"/>
    <cellStyle name="Обычный 3 4 2 2 4" xfId="59385" xr:uid="{00000000-0005-0000-0000-00002DE80000}"/>
    <cellStyle name="Обычный 3 4 2 2 5" xfId="59386" xr:uid="{00000000-0005-0000-0000-00002EE80000}"/>
    <cellStyle name="Обычный 3 4 2 3" xfId="59387" xr:uid="{00000000-0005-0000-0000-00002FE80000}"/>
    <cellStyle name="Обычный 3 4 2 3 2" xfId="59388" xr:uid="{00000000-0005-0000-0000-000030E80000}"/>
    <cellStyle name="Обычный 3 4 2 3 3" xfId="59389" xr:uid="{00000000-0005-0000-0000-000031E80000}"/>
    <cellStyle name="Обычный 3 4 2 4" xfId="59390" xr:uid="{00000000-0005-0000-0000-000032E80000}"/>
    <cellStyle name="Обычный 3 4 2 4 2" xfId="59391" xr:uid="{00000000-0005-0000-0000-000033E80000}"/>
    <cellStyle name="Обычный 3 4 2 4 3" xfId="59392" xr:uid="{00000000-0005-0000-0000-000034E80000}"/>
    <cellStyle name="Обычный 3 4 2 5" xfId="59393" xr:uid="{00000000-0005-0000-0000-000035E80000}"/>
    <cellStyle name="Обычный 3 4 2 6" xfId="59394" xr:uid="{00000000-0005-0000-0000-000036E80000}"/>
    <cellStyle name="Обычный 3 4 2_объемы 2018г111" xfId="59395" xr:uid="{00000000-0005-0000-0000-000037E80000}"/>
    <cellStyle name="Обычный 3 4 3" xfId="59396" xr:uid="{00000000-0005-0000-0000-000038E80000}"/>
    <cellStyle name="Обычный 3 4 3 2" xfId="59397" xr:uid="{00000000-0005-0000-0000-000039E80000}"/>
    <cellStyle name="Обычный 3 4 3 2 2" xfId="59398" xr:uid="{00000000-0005-0000-0000-00003AE80000}"/>
    <cellStyle name="Обычный 3 4 3 2 3" xfId="59399" xr:uid="{00000000-0005-0000-0000-00003BE80000}"/>
    <cellStyle name="Обычный 3 4 3 3" xfId="59400" xr:uid="{00000000-0005-0000-0000-00003CE80000}"/>
    <cellStyle name="Обычный 3 4 3 3 2" xfId="59401" xr:uid="{00000000-0005-0000-0000-00003DE80000}"/>
    <cellStyle name="Обычный 3 4 3 3 3" xfId="59402" xr:uid="{00000000-0005-0000-0000-00003EE80000}"/>
    <cellStyle name="Обычный 3 4 3 4" xfId="59403" xr:uid="{00000000-0005-0000-0000-00003FE80000}"/>
    <cellStyle name="Обычный 3 4 3 5" xfId="59404" xr:uid="{00000000-0005-0000-0000-000040E80000}"/>
    <cellStyle name="Обычный 3 4 4" xfId="59405" xr:uid="{00000000-0005-0000-0000-000041E80000}"/>
    <cellStyle name="Обычный 3 4 4 2" xfId="59406" xr:uid="{00000000-0005-0000-0000-000042E80000}"/>
    <cellStyle name="Обычный 3 4 4 3" xfId="59407" xr:uid="{00000000-0005-0000-0000-000043E80000}"/>
    <cellStyle name="Обычный 3 4 5" xfId="59408" xr:uid="{00000000-0005-0000-0000-000044E80000}"/>
    <cellStyle name="Обычный 3 4 5 2" xfId="59409" xr:uid="{00000000-0005-0000-0000-000045E80000}"/>
    <cellStyle name="Обычный 3 4 5 3" xfId="59410" xr:uid="{00000000-0005-0000-0000-000046E80000}"/>
    <cellStyle name="Обычный 3 4 6" xfId="59411" xr:uid="{00000000-0005-0000-0000-000047E80000}"/>
    <cellStyle name="Обычный 3 4 7" xfId="59412" xr:uid="{00000000-0005-0000-0000-000048E80000}"/>
    <cellStyle name="Обычный 3 4_объемы 2018г111" xfId="59413" xr:uid="{00000000-0005-0000-0000-000049E80000}"/>
    <cellStyle name="Обычный 3 5" xfId="59414" xr:uid="{00000000-0005-0000-0000-00004AE80000}"/>
    <cellStyle name="Обычный 3 5 2" xfId="59415" xr:uid="{00000000-0005-0000-0000-00004BE80000}"/>
    <cellStyle name="Обычный 3 5 2 2" xfId="59416" xr:uid="{00000000-0005-0000-0000-00004CE80000}"/>
    <cellStyle name="Обычный 3 5 2 2 2" xfId="59417" xr:uid="{00000000-0005-0000-0000-00004DE80000}"/>
    <cellStyle name="Обычный 3 5 2 2 2 2" xfId="59418" xr:uid="{00000000-0005-0000-0000-00004EE80000}"/>
    <cellStyle name="Обычный 3 5 2 2 2 3" xfId="59419" xr:uid="{00000000-0005-0000-0000-00004FE80000}"/>
    <cellStyle name="Обычный 3 5 2 2 3" xfId="59420" xr:uid="{00000000-0005-0000-0000-000050E80000}"/>
    <cellStyle name="Обычный 3 5 2 2 3 2" xfId="59421" xr:uid="{00000000-0005-0000-0000-000051E80000}"/>
    <cellStyle name="Обычный 3 5 2 2 3 3" xfId="59422" xr:uid="{00000000-0005-0000-0000-000052E80000}"/>
    <cellStyle name="Обычный 3 5 2 2 4" xfId="59423" xr:uid="{00000000-0005-0000-0000-000053E80000}"/>
    <cellStyle name="Обычный 3 5 2 2 5" xfId="59424" xr:uid="{00000000-0005-0000-0000-000054E80000}"/>
    <cellStyle name="Обычный 3 5 2 3" xfId="59425" xr:uid="{00000000-0005-0000-0000-000055E80000}"/>
    <cellStyle name="Обычный 3 5 2 3 2" xfId="59426" xr:uid="{00000000-0005-0000-0000-000056E80000}"/>
    <cellStyle name="Обычный 3 5 2 3 3" xfId="59427" xr:uid="{00000000-0005-0000-0000-000057E80000}"/>
    <cellStyle name="Обычный 3 5 2 4" xfId="59428" xr:uid="{00000000-0005-0000-0000-000058E80000}"/>
    <cellStyle name="Обычный 3 5 2 4 2" xfId="59429" xr:uid="{00000000-0005-0000-0000-000059E80000}"/>
    <cellStyle name="Обычный 3 5 2 4 3" xfId="59430" xr:uid="{00000000-0005-0000-0000-00005AE80000}"/>
    <cellStyle name="Обычный 3 5 2 5" xfId="59431" xr:uid="{00000000-0005-0000-0000-00005BE80000}"/>
    <cellStyle name="Обычный 3 5 2 6" xfId="59432" xr:uid="{00000000-0005-0000-0000-00005CE80000}"/>
    <cellStyle name="Обычный 3 5 2_объемы 2018г111" xfId="59433" xr:uid="{00000000-0005-0000-0000-00005DE80000}"/>
    <cellStyle name="Обычный 3 5 3" xfId="59434" xr:uid="{00000000-0005-0000-0000-00005EE80000}"/>
    <cellStyle name="Обычный 3 5 3 2" xfId="59435" xr:uid="{00000000-0005-0000-0000-00005FE80000}"/>
    <cellStyle name="Обычный 3 5 3 2 2" xfId="59436" xr:uid="{00000000-0005-0000-0000-000060E80000}"/>
    <cellStyle name="Обычный 3 5 3 2 3" xfId="59437" xr:uid="{00000000-0005-0000-0000-000061E80000}"/>
    <cellStyle name="Обычный 3 5 3 3" xfId="59438" xr:uid="{00000000-0005-0000-0000-000062E80000}"/>
    <cellStyle name="Обычный 3 5 3 3 2" xfId="59439" xr:uid="{00000000-0005-0000-0000-000063E80000}"/>
    <cellStyle name="Обычный 3 5 3 3 3" xfId="59440" xr:uid="{00000000-0005-0000-0000-000064E80000}"/>
    <cellStyle name="Обычный 3 5 3 4" xfId="59441" xr:uid="{00000000-0005-0000-0000-000065E80000}"/>
    <cellStyle name="Обычный 3 5 3 5" xfId="59442" xr:uid="{00000000-0005-0000-0000-000066E80000}"/>
    <cellStyle name="Обычный 3 5 4" xfId="59443" xr:uid="{00000000-0005-0000-0000-000067E80000}"/>
    <cellStyle name="Обычный 3 5 4 2" xfId="59444" xr:uid="{00000000-0005-0000-0000-000068E80000}"/>
    <cellStyle name="Обычный 3 5 4 3" xfId="59445" xr:uid="{00000000-0005-0000-0000-000069E80000}"/>
    <cellStyle name="Обычный 3 5 5" xfId="59446" xr:uid="{00000000-0005-0000-0000-00006AE80000}"/>
    <cellStyle name="Обычный 3 5 5 2" xfId="59447" xr:uid="{00000000-0005-0000-0000-00006BE80000}"/>
    <cellStyle name="Обычный 3 5 5 3" xfId="59448" xr:uid="{00000000-0005-0000-0000-00006CE80000}"/>
    <cellStyle name="Обычный 3 5 6" xfId="59449" xr:uid="{00000000-0005-0000-0000-00006DE80000}"/>
    <cellStyle name="Обычный 3 5 7" xfId="59450" xr:uid="{00000000-0005-0000-0000-00006EE80000}"/>
    <cellStyle name="Обычный 3 5_объемы 2018г111" xfId="59451" xr:uid="{00000000-0005-0000-0000-00006FE80000}"/>
    <cellStyle name="Обычный 3 6" xfId="59452" xr:uid="{00000000-0005-0000-0000-000070E80000}"/>
    <cellStyle name="Обычный 3 6 2" xfId="59453" xr:uid="{00000000-0005-0000-0000-000071E80000}"/>
    <cellStyle name="Обычный 3 6 2 2" xfId="59454" xr:uid="{00000000-0005-0000-0000-000072E80000}"/>
    <cellStyle name="Обычный 3 6 2 2 2" xfId="59455" xr:uid="{00000000-0005-0000-0000-000073E80000}"/>
    <cellStyle name="Обычный 3 6 2 2 3" xfId="59456" xr:uid="{00000000-0005-0000-0000-000074E80000}"/>
    <cellStyle name="Обычный 3 6 2 3" xfId="59457" xr:uid="{00000000-0005-0000-0000-000075E80000}"/>
    <cellStyle name="Обычный 3 6 2 3 2" xfId="59458" xr:uid="{00000000-0005-0000-0000-000076E80000}"/>
    <cellStyle name="Обычный 3 6 2 3 3" xfId="59459" xr:uid="{00000000-0005-0000-0000-000077E80000}"/>
    <cellStyle name="Обычный 3 6 2 4" xfId="59460" xr:uid="{00000000-0005-0000-0000-000078E80000}"/>
    <cellStyle name="Обычный 3 6 2 5" xfId="59461" xr:uid="{00000000-0005-0000-0000-000079E80000}"/>
    <cellStyle name="Обычный 3 6 3" xfId="59462" xr:uid="{00000000-0005-0000-0000-00007AE80000}"/>
    <cellStyle name="Обычный 3 6 3 2" xfId="59463" xr:uid="{00000000-0005-0000-0000-00007BE80000}"/>
    <cellStyle name="Обычный 3 6 3 3" xfId="59464" xr:uid="{00000000-0005-0000-0000-00007CE80000}"/>
    <cellStyle name="Обычный 3 6 4" xfId="59465" xr:uid="{00000000-0005-0000-0000-00007DE80000}"/>
    <cellStyle name="Обычный 3 6 4 2" xfId="59466" xr:uid="{00000000-0005-0000-0000-00007EE80000}"/>
    <cellStyle name="Обычный 3 6 4 3" xfId="59467" xr:uid="{00000000-0005-0000-0000-00007FE80000}"/>
    <cellStyle name="Обычный 3 6 5" xfId="59468" xr:uid="{00000000-0005-0000-0000-000080E80000}"/>
    <cellStyle name="Обычный 3 6 6" xfId="59469" xr:uid="{00000000-0005-0000-0000-000081E80000}"/>
    <cellStyle name="Обычный 3 6_объемы 2018г111" xfId="59470" xr:uid="{00000000-0005-0000-0000-000082E80000}"/>
    <cellStyle name="Обычный 3 7" xfId="59471" xr:uid="{00000000-0005-0000-0000-000083E80000}"/>
    <cellStyle name="Обычный 3 7 2" xfId="59472" xr:uid="{00000000-0005-0000-0000-000084E80000}"/>
    <cellStyle name="Обычный 3 7 2 2" xfId="59473" xr:uid="{00000000-0005-0000-0000-000085E80000}"/>
    <cellStyle name="Обычный 3 7 2 3" xfId="59474" xr:uid="{00000000-0005-0000-0000-000086E80000}"/>
    <cellStyle name="Обычный 3 7 3" xfId="59475" xr:uid="{00000000-0005-0000-0000-000087E80000}"/>
    <cellStyle name="Обычный 3 7 3 2" xfId="59476" xr:uid="{00000000-0005-0000-0000-000088E80000}"/>
    <cellStyle name="Обычный 3 7 3 3" xfId="59477" xr:uid="{00000000-0005-0000-0000-000089E80000}"/>
    <cellStyle name="Обычный 3 7 4" xfId="59478" xr:uid="{00000000-0005-0000-0000-00008AE80000}"/>
    <cellStyle name="Обычный 3 7 5" xfId="59479" xr:uid="{00000000-0005-0000-0000-00008BE80000}"/>
    <cellStyle name="Обычный 3 8" xfId="59480" xr:uid="{00000000-0005-0000-0000-00008CE80000}"/>
    <cellStyle name="Обычный 3 8 2" xfId="59481" xr:uid="{00000000-0005-0000-0000-00008DE80000}"/>
    <cellStyle name="Обычный 3 8 2 2" xfId="59482" xr:uid="{00000000-0005-0000-0000-00008EE80000}"/>
    <cellStyle name="Обычный 3 8 2 3" xfId="59483" xr:uid="{00000000-0005-0000-0000-00008FE80000}"/>
    <cellStyle name="Обычный 3 8 3" xfId="59484" xr:uid="{00000000-0005-0000-0000-000090E80000}"/>
    <cellStyle name="Обычный 3 8 3 2" xfId="59485" xr:uid="{00000000-0005-0000-0000-000091E80000}"/>
    <cellStyle name="Обычный 3 8 3 3" xfId="59486" xr:uid="{00000000-0005-0000-0000-000092E80000}"/>
    <cellStyle name="Обычный 3 8 4" xfId="59487" xr:uid="{00000000-0005-0000-0000-000093E80000}"/>
    <cellStyle name="Обычный 3 8 5" xfId="59488" xr:uid="{00000000-0005-0000-0000-000094E80000}"/>
    <cellStyle name="Обычный 3 9" xfId="59489" xr:uid="{00000000-0005-0000-0000-000095E80000}"/>
    <cellStyle name="Обычный 3 9 2" xfId="59490" xr:uid="{00000000-0005-0000-0000-000096E80000}"/>
    <cellStyle name="Обычный 3 9 2 2" xfId="59491" xr:uid="{00000000-0005-0000-0000-000097E80000}"/>
    <cellStyle name="Обычный 3 9 2 3" xfId="59492" xr:uid="{00000000-0005-0000-0000-000098E80000}"/>
    <cellStyle name="Обычный 3 9 3" xfId="59493" xr:uid="{00000000-0005-0000-0000-000099E80000}"/>
    <cellStyle name="Обычный 3 9 3 2" xfId="59494" xr:uid="{00000000-0005-0000-0000-00009AE80000}"/>
    <cellStyle name="Обычный 3 9 3 3" xfId="59495" xr:uid="{00000000-0005-0000-0000-00009BE80000}"/>
    <cellStyle name="Обычный 3 9 4" xfId="59496" xr:uid="{00000000-0005-0000-0000-00009CE80000}"/>
    <cellStyle name="Обычный 3 9 5" xfId="59497" xr:uid="{00000000-0005-0000-0000-00009DE80000}"/>
    <cellStyle name="Обычный 3_объемы 2018г111" xfId="59498" xr:uid="{00000000-0005-0000-0000-00009EE80000}"/>
    <cellStyle name="Обычный 30" xfId="59499" xr:uid="{00000000-0005-0000-0000-00009FE80000}"/>
    <cellStyle name="Обычный 30 2" xfId="59500" xr:uid="{00000000-0005-0000-0000-0000A0E80000}"/>
    <cellStyle name="Обычный 30 2 2" xfId="59501" xr:uid="{00000000-0005-0000-0000-0000A1E80000}"/>
    <cellStyle name="Обычный 30 3" xfId="59502" xr:uid="{00000000-0005-0000-0000-0000A2E80000}"/>
    <cellStyle name="Обычный 30 3 2" xfId="59503" xr:uid="{00000000-0005-0000-0000-0000A3E80000}"/>
    <cellStyle name="Обычный 30 4" xfId="59504" xr:uid="{00000000-0005-0000-0000-0000A4E80000}"/>
    <cellStyle name="Обычный 30 5" xfId="59505" xr:uid="{00000000-0005-0000-0000-0000A5E80000}"/>
    <cellStyle name="Обычный 30 6" xfId="59506" xr:uid="{00000000-0005-0000-0000-0000A6E80000}"/>
    <cellStyle name="Обычный 30 7" xfId="59507" xr:uid="{00000000-0005-0000-0000-0000A7E80000}"/>
    <cellStyle name="Обычный 30 8" xfId="59508" xr:uid="{00000000-0005-0000-0000-0000A8E80000}"/>
    <cellStyle name="Обычный 31" xfId="59509" xr:uid="{00000000-0005-0000-0000-0000A9E80000}"/>
    <cellStyle name="Обычный 31 2" xfId="59510" xr:uid="{00000000-0005-0000-0000-0000AAE80000}"/>
    <cellStyle name="Обычный 31 2 2" xfId="59511" xr:uid="{00000000-0005-0000-0000-0000ABE80000}"/>
    <cellStyle name="Обычный 31 2 3" xfId="59512" xr:uid="{00000000-0005-0000-0000-0000ACE80000}"/>
    <cellStyle name="Обычный 31 3" xfId="59513" xr:uid="{00000000-0005-0000-0000-0000ADE80000}"/>
    <cellStyle name="Обычный 31 3 2" xfId="59514" xr:uid="{00000000-0005-0000-0000-0000AEE80000}"/>
    <cellStyle name="Обычный 31 3 3" xfId="59515" xr:uid="{00000000-0005-0000-0000-0000AFE80000}"/>
    <cellStyle name="Обычный 31 4" xfId="59516" xr:uid="{00000000-0005-0000-0000-0000B0E80000}"/>
    <cellStyle name="Обычный 31 5" xfId="59517" xr:uid="{00000000-0005-0000-0000-0000B1E80000}"/>
    <cellStyle name="Обычный 32" xfId="59518" xr:uid="{00000000-0005-0000-0000-0000B2E80000}"/>
    <cellStyle name="Обычный 32 2" xfId="59519" xr:uid="{00000000-0005-0000-0000-0000B3E80000}"/>
    <cellStyle name="Обычный 32 2 2" xfId="59520" xr:uid="{00000000-0005-0000-0000-0000B4E80000}"/>
    <cellStyle name="Обычный 32 2 3" xfId="59521" xr:uid="{00000000-0005-0000-0000-0000B5E80000}"/>
    <cellStyle name="Обычный 32 3" xfId="59522" xr:uid="{00000000-0005-0000-0000-0000B6E80000}"/>
    <cellStyle name="Обычный 32 3 2" xfId="59523" xr:uid="{00000000-0005-0000-0000-0000B7E80000}"/>
    <cellStyle name="Обычный 32 3 3" xfId="59524" xr:uid="{00000000-0005-0000-0000-0000B8E80000}"/>
    <cellStyle name="Обычный 32 4" xfId="59525" xr:uid="{00000000-0005-0000-0000-0000B9E80000}"/>
    <cellStyle name="Обычный 32 5" xfId="59526" xr:uid="{00000000-0005-0000-0000-0000BAE80000}"/>
    <cellStyle name="Обычный 33" xfId="59527" xr:uid="{00000000-0005-0000-0000-0000BBE80000}"/>
    <cellStyle name="Обычный 33 2" xfId="59528" xr:uid="{00000000-0005-0000-0000-0000BCE80000}"/>
    <cellStyle name="Обычный 33 2 2" xfId="59529" xr:uid="{00000000-0005-0000-0000-0000BDE80000}"/>
    <cellStyle name="Обычный 33 2 3" xfId="59530" xr:uid="{00000000-0005-0000-0000-0000BEE80000}"/>
    <cellStyle name="Обычный 33 3" xfId="59531" xr:uid="{00000000-0005-0000-0000-0000BFE80000}"/>
    <cellStyle name="Обычный 33 3 2" xfId="59532" xr:uid="{00000000-0005-0000-0000-0000C0E80000}"/>
    <cellStyle name="Обычный 33 3 3" xfId="59533" xr:uid="{00000000-0005-0000-0000-0000C1E80000}"/>
    <cellStyle name="Обычный 33 4" xfId="59534" xr:uid="{00000000-0005-0000-0000-0000C2E80000}"/>
    <cellStyle name="Обычный 33 5" xfId="59535" xr:uid="{00000000-0005-0000-0000-0000C3E80000}"/>
    <cellStyle name="Обычный 34" xfId="59536" xr:uid="{00000000-0005-0000-0000-0000C4E80000}"/>
    <cellStyle name="Обычный 34 2" xfId="59537" xr:uid="{00000000-0005-0000-0000-0000C5E80000}"/>
    <cellStyle name="Обычный 34 2 2" xfId="59538" xr:uid="{00000000-0005-0000-0000-0000C6E80000}"/>
    <cellStyle name="Обычный 34 2 3" xfId="59539" xr:uid="{00000000-0005-0000-0000-0000C7E80000}"/>
    <cellStyle name="Обычный 34 3" xfId="59540" xr:uid="{00000000-0005-0000-0000-0000C8E80000}"/>
    <cellStyle name="Обычный 34 3 2" xfId="59541" xr:uid="{00000000-0005-0000-0000-0000C9E80000}"/>
    <cellStyle name="Обычный 34 3 3" xfId="59542" xr:uid="{00000000-0005-0000-0000-0000CAE80000}"/>
    <cellStyle name="Обычный 34 4" xfId="59543" xr:uid="{00000000-0005-0000-0000-0000CBE80000}"/>
    <cellStyle name="Обычный 34 5" xfId="59544" xr:uid="{00000000-0005-0000-0000-0000CCE80000}"/>
    <cellStyle name="Обычный 35" xfId="59545" xr:uid="{00000000-0005-0000-0000-0000CDE80000}"/>
    <cellStyle name="Обычный 35 2" xfId="59546" xr:uid="{00000000-0005-0000-0000-0000CEE80000}"/>
    <cellStyle name="Обычный 35 2 2" xfId="59547" xr:uid="{00000000-0005-0000-0000-0000CFE80000}"/>
    <cellStyle name="Обычный 35 2 3" xfId="59548" xr:uid="{00000000-0005-0000-0000-0000D0E80000}"/>
    <cellStyle name="Обычный 35 3" xfId="59549" xr:uid="{00000000-0005-0000-0000-0000D1E80000}"/>
    <cellStyle name="Обычный 35 3 2" xfId="59550" xr:uid="{00000000-0005-0000-0000-0000D2E80000}"/>
    <cellStyle name="Обычный 35 3 3" xfId="59551" xr:uid="{00000000-0005-0000-0000-0000D3E80000}"/>
    <cellStyle name="Обычный 35 4" xfId="59552" xr:uid="{00000000-0005-0000-0000-0000D4E80000}"/>
    <cellStyle name="Обычный 35 5" xfId="59553" xr:uid="{00000000-0005-0000-0000-0000D5E80000}"/>
    <cellStyle name="Обычный 36" xfId="59554" xr:uid="{00000000-0005-0000-0000-0000D6E80000}"/>
    <cellStyle name="Обычный 36 2" xfId="59555" xr:uid="{00000000-0005-0000-0000-0000D7E80000}"/>
    <cellStyle name="Обычный 36 2 2" xfId="59556" xr:uid="{00000000-0005-0000-0000-0000D8E80000}"/>
    <cellStyle name="Обычный 36 2 3" xfId="59557" xr:uid="{00000000-0005-0000-0000-0000D9E80000}"/>
    <cellStyle name="Обычный 36 3" xfId="59558" xr:uid="{00000000-0005-0000-0000-0000DAE80000}"/>
    <cellStyle name="Обычный 36 3 2" xfId="59559" xr:uid="{00000000-0005-0000-0000-0000DBE80000}"/>
    <cellStyle name="Обычный 36 3 3" xfId="59560" xr:uid="{00000000-0005-0000-0000-0000DCE80000}"/>
    <cellStyle name="Обычный 36 4" xfId="59561" xr:uid="{00000000-0005-0000-0000-0000DDE80000}"/>
    <cellStyle name="Обычный 36 5" xfId="59562" xr:uid="{00000000-0005-0000-0000-0000DEE80000}"/>
    <cellStyle name="Обычный 37" xfId="59563" xr:uid="{00000000-0005-0000-0000-0000DFE80000}"/>
    <cellStyle name="Обычный 37 2" xfId="59564" xr:uid="{00000000-0005-0000-0000-0000E0E80000}"/>
    <cellStyle name="Обычный 37 2 2" xfId="59565" xr:uid="{00000000-0005-0000-0000-0000E1E80000}"/>
    <cellStyle name="Обычный 37 2 3" xfId="59566" xr:uid="{00000000-0005-0000-0000-0000E2E80000}"/>
    <cellStyle name="Обычный 37 3" xfId="59567" xr:uid="{00000000-0005-0000-0000-0000E3E80000}"/>
    <cellStyle name="Обычный 37 3 2" xfId="59568" xr:uid="{00000000-0005-0000-0000-0000E4E80000}"/>
    <cellStyle name="Обычный 37 3 3" xfId="59569" xr:uid="{00000000-0005-0000-0000-0000E5E80000}"/>
    <cellStyle name="Обычный 37 4" xfId="59570" xr:uid="{00000000-0005-0000-0000-0000E6E80000}"/>
    <cellStyle name="Обычный 37 5" xfId="59571" xr:uid="{00000000-0005-0000-0000-0000E7E80000}"/>
    <cellStyle name="Обычный 38" xfId="59572" xr:uid="{00000000-0005-0000-0000-0000E8E80000}"/>
    <cellStyle name="Обычный 38 2" xfId="59573" xr:uid="{00000000-0005-0000-0000-0000E9E80000}"/>
    <cellStyle name="Обычный 38 2 2" xfId="59574" xr:uid="{00000000-0005-0000-0000-0000EAE80000}"/>
    <cellStyle name="Обычный 38 2 3" xfId="59575" xr:uid="{00000000-0005-0000-0000-0000EBE80000}"/>
    <cellStyle name="Обычный 38 3" xfId="59576" xr:uid="{00000000-0005-0000-0000-0000ECE80000}"/>
    <cellStyle name="Обычный 38 3 2" xfId="59577" xr:uid="{00000000-0005-0000-0000-0000EDE80000}"/>
    <cellStyle name="Обычный 38 3 3" xfId="59578" xr:uid="{00000000-0005-0000-0000-0000EEE80000}"/>
    <cellStyle name="Обычный 38 4" xfId="59579" xr:uid="{00000000-0005-0000-0000-0000EFE80000}"/>
    <cellStyle name="Обычный 38 5" xfId="59580" xr:uid="{00000000-0005-0000-0000-0000F0E80000}"/>
    <cellStyle name="Обычный 39" xfId="59581" xr:uid="{00000000-0005-0000-0000-0000F1E80000}"/>
    <cellStyle name="Обычный 39 2" xfId="59582" xr:uid="{00000000-0005-0000-0000-0000F2E80000}"/>
    <cellStyle name="Обычный 39 2 2" xfId="59583" xr:uid="{00000000-0005-0000-0000-0000F3E80000}"/>
    <cellStyle name="Обычный 39 2 3" xfId="59584" xr:uid="{00000000-0005-0000-0000-0000F4E80000}"/>
    <cellStyle name="Обычный 39 3" xfId="59585" xr:uid="{00000000-0005-0000-0000-0000F5E80000}"/>
    <cellStyle name="Обычный 39 3 2" xfId="59586" xr:uid="{00000000-0005-0000-0000-0000F6E80000}"/>
    <cellStyle name="Обычный 39 3 3" xfId="59587" xr:uid="{00000000-0005-0000-0000-0000F7E80000}"/>
    <cellStyle name="Обычный 39 4" xfId="59588" xr:uid="{00000000-0005-0000-0000-0000F8E80000}"/>
    <cellStyle name="Обычный 39 5" xfId="59589" xr:uid="{00000000-0005-0000-0000-0000F9E80000}"/>
    <cellStyle name="Обычный 4" xfId="59590" xr:uid="{00000000-0005-0000-0000-0000FAE80000}"/>
    <cellStyle name="Обычный 4 10" xfId="59591" xr:uid="{00000000-0005-0000-0000-0000FBE80000}"/>
    <cellStyle name="Обычный 4 10 2" xfId="59592" xr:uid="{00000000-0005-0000-0000-0000FCE80000}"/>
    <cellStyle name="Обычный 4 10 2 2" xfId="59593" xr:uid="{00000000-0005-0000-0000-0000FDE80000}"/>
    <cellStyle name="Обычный 4 10 2 2 2" xfId="59594" xr:uid="{00000000-0005-0000-0000-0000FEE80000}"/>
    <cellStyle name="Обычный 4 10 2 2 3" xfId="59595" xr:uid="{00000000-0005-0000-0000-0000FFE80000}"/>
    <cellStyle name="Обычный 4 10 2 2 3 2" xfId="59596" xr:uid="{00000000-0005-0000-0000-000000E90000}"/>
    <cellStyle name="Обычный 4 10 2 2 4" xfId="59597" xr:uid="{00000000-0005-0000-0000-000001E90000}"/>
    <cellStyle name="Обычный 4 10 2 3" xfId="59598" xr:uid="{00000000-0005-0000-0000-000002E90000}"/>
    <cellStyle name="Обычный 4 10 3" xfId="59599" xr:uid="{00000000-0005-0000-0000-000003E90000}"/>
    <cellStyle name="Обычный 4 10 3 2" xfId="59600" xr:uid="{00000000-0005-0000-0000-000004E90000}"/>
    <cellStyle name="Обычный 4 10 3 3" xfId="59601" xr:uid="{00000000-0005-0000-0000-000005E90000}"/>
    <cellStyle name="Обычный 4 10 4" xfId="59602" xr:uid="{00000000-0005-0000-0000-000006E90000}"/>
    <cellStyle name="Обычный 4 10 5" xfId="59603" xr:uid="{00000000-0005-0000-0000-000007E90000}"/>
    <cellStyle name="Обычный 4 11" xfId="59604" xr:uid="{00000000-0005-0000-0000-000008E90000}"/>
    <cellStyle name="Обычный 4 11 2" xfId="59605" xr:uid="{00000000-0005-0000-0000-000009E90000}"/>
    <cellStyle name="Обычный 4 11 2 2" xfId="59606" xr:uid="{00000000-0005-0000-0000-00000AE90000}"/>
    <cellStyle name="Обычный 4 11 2 3" xfId="59607" xr:uid="{00000000-0005-0000-0000-00000BE90000}"/>
    <cellStyle name="Обычный 4 11 3" xfId="59608" xr:uid="{00000000-0005-0000-0000-00000CE90000}"/>
    <cellStyle name="Обычный 4 11 3 2" xfId="59609" xr:uid="{00000000-0005-0000-0000-00000DE90000}"/>
    <cellStyle name="Обычный 4 11 3 3" xfId="59610" xr:uid="{00000000-0005-0000-0000-00000EE90000}"/>
    <cellStyle name="Обычный 4 11 4" xfId="59611" xr:uid="{00000000-0005-0000-0000-00000FE90000}"/>
    <cellStyle name="Обычный 4 11 5" xfId="59612" xr:uid="{00000000-0005-0000-0000-000010E90000}"/>
    <cellStyle name="Обычный 4 12" xfId="59613" xr:uid="{00000000-0005-0000-0000-000011E90000}"/>
    <cellStyle name="Обычный 4 12 2" xfId="59614" xr:uid="{00000000-0005-0000-0000-000012E90000}"/>
    <cellStyle name="Обычный 4 12 2 2" xfId="59615" xr:uid="{00000000-0005-0000-0000-000013E90000}"/>
    <cellStyle name="Обычный 4 12 2 3" xfId="59616" xr:uid="{00000000-0005-0000-0000-000014E90000}"/>
    <cellStyle name="Обычный 4 12 3" xfId="59617" xr:uid="{00000000-0005-0000-0000-000015E90000}"/>
    <cellStyle name="Обычный 4 12 3 2" xfId="59618" xr:uid="{00000000-0005-0000-0000-000016E90000}"/>
    <cellStyle name="Обычный 4 12 3 3" xfId="59619" xr:uid="{00000000-0005-0000-0000-000017E90000}"/>
    <cellStyle name="Обычный 4 12 4" xfId="59620" xr:uid="{00000000-0005-0000-0000-000018E90000}"/>
    <cellStyle name="Обычный 4 12 5" xfId="59621" xr:uid="{00000000-0005-0000-0000-000019E90000}"/>
    <cellStyle name="Обычный 4 13" xfId="59622" xr:uid="{00000000-0005-0000-0000-00001AE90000}"/>
    <cellStyle name="Обычный 4 13 2" xfId="59623" xr:uid="{00000000-0005-0000-0000-00001BE90000}"/>
    <cellStyle name="Обычный 4 13 2 2" xfId="59624" xr:uid="{00000000-0005-0000-0000-00001CE90000}"/>
    <cellStyle name="Обычный 4 13 2 3" xfId="59625" xr:uid="{00000000-0005-0000-0000-00001DE90000}"/>
    <cellStyle name="Обычный 4 13 3" xfId="59626" xr:uid="{00000000-0005-0000-0000-00001EE90000}"/>
    <cellStyle name="Обычный 4 13 3 2" xfId="59627" xr:uid="{00000000-0005-0000-0000-00001FE90000}"/>
    <cellStyle name="Обычный 4 13 3 3" xfId="59628" xr:uid="{00000000-0005-0000-0000-000020E90000}"/>
    <cellStyle name="Обычный 4 13 4" xfId="59629" xr:uid="{00000000-0005-0000-0000-000021E90000}"/>
    <cellStyle name="Обычный 4 13 5" xfId="59630" xr:uid="{00000000-0005-0000-0000-000022E90000}"/>
    <cellStyle name="Обычный 4 14" xfId="59631" xr:uid="{00000000-0005-0000-0000-000023E90000}"/>
    <cellStyle name="Обычный 4 14 2" xfId="59632" xr:uid="{00000000-0005-0000-0000-000024E90000}"/>
    <cellStyle name="Обычный 4 14 2 2" xfId="59633" xr:uid="{00000000-0005-0000-0000-000025E90000}"/>
    <cellStyle name="Обычный 4 14 2 3" xfId="59634" xr:uid="{00000000-0005-0000-0000-000026E90000}"/>
    <cellStyle name="Обычный 4 14 3" xfId="59635" xr:uid="{00000000-0005-0000-0000-000027E90000}"/>
    <cellStyle name="Обычный 4 14 3 2" xfId="59636" xr:uid="{00000000-0005-0000-0000-000028E90000}"/>
    <cellStyle name="Обычный 4 14 3 3" xfId="59637" xr:uid="{00000000-0005-0000-0000-000029E90000}"/>
    <cellStyle name="Обычный 4 14 4" xfId="59638" xr:uid="{00000000-0005-0000-0000-00002AE90000}"/>
    <cellStyle name="Обычный 4 14 5" xfId="59639" xr:uid="{00000000-0005-0000-0000-00002BE90000}"/>
    <cellStyle name="Обычный 4 15" xfId="59640" xr:uid="{00000000-0005-0000-0000-00002CE90000}"/>
    <cellStyle name="Обычный 4 15 2" xfId="59641" xr:uid="{00000000-0005-0000-0000-00002DE90000}"/>
    <cellStyle name="Обычный 4 15 2 2" xfId="59642" xr:uid="{00000000-0005-0000-0000-00002EE90000}"/>
    <cellStyle name="Обычный 4 15 2 3" xfId="59643" xr:uid="{00000000-0005-0000-0000-00002FE90000}"/>
    <cellStyle name="Обычный 4 15 3" xfId="59644" xr:uid="{00000000-0005-0000-0000-000030E90000}"/>
    <cellStyle name="Обычный 4 15 3 2" xfId="59645" xr:uid="{00000000-0005-0000-0000-000031E90000}"/>
    <cellStyle name="Обычный 4 15 3 3" xfId="59646" xr:uid="{00000000-0005-0000-0000-000032E90000}"/>
    <cellStyle name="Обычный 4 15 4" xfId="59647" xr:uid="{00000000-0005-0000-0000-000033E90000}"/>
    <cellStyle name="Обычный 4 15 5" xfId="59648" xr:uid="{00000000-0005-0000-0000-000034E90000}"/>
    <cellStyle name="Обычный 4 16" xfId="59649" xr:uid="{00000000-0005-0000-0000-000035E90000}"/>
    <cellStyle name="Обычный 4 16 2" xfId="59650" xr:uid="{00000000-0005-0000-0000-000036E90000}"/>
    <cellStyle name="Обычный 4 16 2 2" xfId="59651" xr:uid="{00000000-0005-0000-0000-000037E90000}"/>
    <cellStyle name="Обычный 4 16 2 3" xfId="59652" xr:uid="{00000000-0005-0000-0000-000038E90000}"/>
    <cellStyle name="Обычный 4 16 3" xfId="59653" xr:uid="{00000000-0005-0000-0000-000039E90000}"/>
    <cellStyle name="Обычный 4 16 3 2" xfId="59654" xr:uid="{00000000-0005-0000-0000-00003AE90000}"/>
    <cellStyle name="Обычный 4 16 3 3" xfId="59655" xr:uid="{00000000-0005-0000-0000-00003BE90000}"/>
    <cellStyle name="Обычный 4 16 4" xfId="59656" xr:uid="{00000000-0005-0000-0000-00003CE90000}"/>
    <cellStyle name="Обычный 4 16 5" xfId="59657" xr:uid="{00000000-0005-0000-0000-00003DE90000}"/>
    <cellStyle name="Обычный 4 17" xfId="59658" xr:uid="{00000000-0005-0000-0000-00003EE90000}"/>
    <cellStyle name="Обычный 4 17 2" xfId="59659" xr:uid="{00000000-0005-0000-0000-00003FE90000}"/>
    <cellStyle name="Обычный 4 17 2 2" xfId="59660" xr:uid="{00000000-0005-0000-0000-000040E90000}"/>
    <cellStyle name="Обычный 4 17 2 3" xfId="59661" xr:uid="{00000000-0005-0000-0000-000041E90000}"/>
    <cellStyle name="Обычный 4 17 3" xfId="59662" xr:uid="{00000000-0005-0000-0000-000042E90000}"/>
    <cellStyle name="Обычный 4 17 3 2" xfId="59663" xr:uid="{00000000-0005-0000-0000-000043E90000}"/>
    <cellStyle name="Обычный 4 17 3 3" xfId="59664" xr:uid="{00000000-0005-0000-0000-000044E90000}"/>
    <cellStyle name="Обычный 4 17 4" xfId="59665" xr:uid="{00000000-0005-0000-0000-000045E90000}"/>
    <cellStyle name="Обычный 4 17 5" xfId="59666" xr:uid="{00000000-0005-0000-0000-000046E90000}"/>
    <cellStyle name="Обычный 4 18" xfId="59667" xr:uid="{00000000-0005-0000-0000-000047E90000}"/>
    <cellStyle name="Обычный 4 18 2" xfId="59668" xr:uid="{00000000-0005-0000-0000-000048E90000}"/>
    <cellStyle name="Обычный 4 18 2 2" xfId="59669" xr:uid="{00000000-0005-0000-0000-000049E90000}"/>
    <cellStyle name="Обычный 4 18 2 3" xfId="59670" xr:uid="{00000000-0005-0000-0000-00004AE90000}"/>
    <cellStyle name="Обычный 4 18 3" xfId="59671" xr:uid="{00000000-0005-0000-0000-00004BE90000}"/>
    <cellStyle name="Обычный 4 18 3 2" xfId="59672" xr:uid="{00000000-0005-0000-0000-00004CE90000}"/>
    <cellStyle name="Обычный 4 18 3 3" xfId="59673" xr:uid="{00000000-0005-0000-0000-00004DE90000}"/>
    <cellStyle name="Обычный 4 18 4" xfId="59674" xr:uid="{00000000-0005-0000-0000-00004EE90000}"/>
    <cellStyle name="Обычный 4 18 5" xfId="59675" xr:uid="{00000000-0005-0000-0000-00004FE90000}"/>
    <cellStyle name="Обычный 4 19" xfId="59676" xr:uid="{00000000-0005-0000-0000-000050E90000}"/>
    <cellStyle name="Обычный 4 19 2" xfId="59677" xr:uid="{00000000-0005-0000-0000-000051E90000}"/>
    <cellStyle name="Обычный 4 19 3" xfId="59678" xr:uid="{00000000-0005-0000-0000-000052E90000}"/>
    <cellStyle name="Обычный 4 2" xfId="59679" xr:uid="{00000000-0005-0000-0000-000053E90000}"/>
    <cellStyle name="Обычный 4 2 2" xfId="59680" xr:uid="{00000000-0005-0000-0000-000054E90000}"/>
    <cellStyle name="Обычный 4 20" xfId="59681" xr:uid="{00000000-0005-0000-0000-000055E90000}"/>
    <cellStyle name="Обычный 4 20 2" xfId="59682" xr:uid="{00000000-0005-0000-0000-000056E90000}"/>
    <cellStyle name="Обычный 4 20 3" xfId="59683" xr:uid="{00000000-0005-0000-0000-000057E90000}"/>
    <cellStyle name="Обычный 4 21" xfId="59684" xr:uid="{00000000-0005-0000-0000-000058E90000}"/>
    <cellStyle name="Обычный 4 21 2" xfId="59685" xr:uid="{00000000-0005-0000-0000-000059E90000}"/>
    <cellStyle name="Обычный 4 22" xfId="59686" xr:uid="{00000000-0005-0000-0000-00005AE90000}"/>
    <cellStyle name="Обычный 4 23" xfId="59687" xr:uid="{00000000-0005-0000-0000-00005BE90000}"/>
    <cellStyle name="Обычный 4 24" xfId="59688" xr:uid="{00000000-0005-0000-0000-00005CE90000}"/>
    <cellStyle name="Обычный 4 25" xfId="59689" xr:uid="{00000000-0005-0000-0000-00005DE90000}"/>
    <cellStyle name="Обычный 4 26" xfId="59690" xr:uid="{00000000-0005-0000-0000-00005EE90000}"/>
    <cellStyle name="Обычный 4 27" xfId="59691" xr:uid="{00000000-0005-0000-0000-00005FE90000}"/>
    <cellStyle name="Обычный 4 28" xfId="59692" xr:uid="{00000000-0005-0000-0000-000060E90000}"/>
    <cellStyle name="Обычный 4 29" xfId="59693" xr:uid="{00000000-0005-0000-0000-000061E90000}"/>
    <cellStyle name="Обычный 4 3" xfId="59694" xr:uid="{00000000-0005-0000-0000-000062E90000}"/>
    <cellStyle name="Обычный 4 3 2" xfId="59695" xr:uid="{00000000-0005-0000-0000-000063E90000}"/>
    <cellStyle name="Обычный 4 3 2 2" xfId="59696" xr:uid="{00000000-0005-0000-0000-000064E90000}"/>
    <cellStyle name="Обычный 4 3 2 2 2" xfId="59697" xr:uid="{00000000-0005-0000-0000-000065E90000}"/>
    <cellStyle name="Обычный 4 3 2 2 2 2" xfId="59698" xr:uid="{00000000-0005-0000-0000-000066E90000}"/>
    <cellStyle name="Обычный 4 3 2 2 2 3" xfId="59699" xr:uid="{00000000-0005-0000-0000-000067E90000}"/>
    <cellStyle name="Обычный 4 3 2 2 3" xfId="59700" xr:uid="{00000000-0005-0000-0000-000068E90000}"/>
    <cellStyle name="Обычный 4 3 2 2 3 2" xfId="59701" xr:uid="{00000000-0005-0000-0000-000069E90000}"/>
    <cellStyle name="Обычный 4 3 2 2 3 3" xfId="59702" xr:uid="{00000000-0005-0000-0000-00006AE90000}"/>
    <cellStyle name="Обычный 4 3 2 2 4" xfId="59703" xr:uid="{00000000-0005-0000-0000-00006BE90000}"/>
    <cellStyle name="Обычный 4 3 2 2 5" xfId="59704" xr:uid="{00000000-0005-0000-0000-00006CE90000}"/>
    <cellStyle name="Обычный 4 3 2 3" xfId="59705" xr:uid="{00000000-0005-0000-0000-00006DE90000}"/>
    <cellStyle name="Обычный 4 3 2 3 2" xfId="59706" xr:uid="{00000000-0005-0000-0000-00006EE90000}"/>
    <cellStyle name="Обычный 4 3 2 3 3" xfId="59707" xr:uid="{00000000-0005-0000-0000-00006FE90000}"/>
    <cellStyle name="Обычный 4 3 2 4" xfId="59708" xr:uid="{00000000-0005-0000-0000-000070E90000}"/>
    <cellStyle name="Обычный 4 3 2 4 2" xfId="59709" xr:uid="{00000000-0005-0000-0000-000071E90000}"/>
    <cellStyle name="Обычный 4 3 2 4 3" xfId="59710" xr:uid="{00000000-0005-0000-0000-000072E90000}"/>
    <cellStyle name="Обычный 4 3 2 5" xfId="59711" xr:uid="{00000000-0005-0000-0000-000073E90000}"/>
    <cellStyle name="Обычный 4 3 2 6" xfId="59712" xr:uid="{00000000-0005-0000-0000-000074E90000}"/>
    <cellStyle name="Обычный 4 3 2_объемы 2018г111" xfId="59713" xr:uid="{00000000-0005-0000-0000-000075E90000}"/>
    <cellStyle name="Обычный 4 3 3" xfId="59714" xr:uid="{00000000-0005-0000-0000-000076E90000}"/>
    <cellStyle name="Обычный 4 3 3 2" xfId="59715" xr:uid="{00000000-0005-0000-0000-000077E90000}"/>
    <cellStyle name="Обычный 4 3 3 2 2" xfId="59716" xr:uid="{00000000-0005-0000-0000-000078E90000}"/>
    <cellStyle name="Обычный 4 3 3 2 3" xfId="59717" xr:uid="{00000000-0005-0000-0000-000079E90000}"/>
    <cellStyle name="Обычный 4 3 3 3" xfId="59718" xr:uid="{00000000-0005-0000-0000-00007AE90000}"/>
    <cellStyle name="Обычный 4 3 3 3 2" xfId="59719" xr:uid="{00000000-0005-0000-0000-00007BE90000}"/>
    <cellStyle name="Обычный 4 3 3 3 3" xfId="59720" xr:uid="{00000000-0005-0000-0000-00007CE90000}"/>
    <cellStyle name="Обычный 4 3 3 4" xfId="59721" xr:uid="{00000000-0005-0000-0000-00007DE90000}"/>
    <cellStyle name="Обычный 4 3 3 5" xfId="59722" xr:uid="{00000000-0005-0000-0000-00007EE90000}"/>
    <cellStyle name="Обычный 4 3 4" xfId="59723" xr:uid="{00000000-0005-0000-0000-00007FE90000}"/>
    <cellStyle name="Обычный 4 3 4 2" xfId="59724" xr:uid="{00000000-0005-0000-0000-000080E90000}"/>
    <cellStyle name="Обычный 4 3 4 3" xfId="59725" xr:uid="{00000000-0005-0000-0000-000081E90000}"/>
    <cellStyle name="Обычный 4 3 5" xfId="59726" xr:uid="{00000000-0005-0000-0000-000082E90000}"/>
    <cellStyle name="Обычный 4 3 5 2" xfId="59727" xr:uid="{00000000-0005-0000-0000-000083E90000}"/>
    <cellStyle name="Обычный 4 3 5 3" xfId="59728" xr:uid="{00000000-0005-0000-0000-000084E90000}"/>
    <cellStyle name="Обычный 4 3 6" xfId="59729" xr:uid="{00000000-0005-0000-0000-000085E90000}"/>
    <cellStyle name="Обычный 4 3 7" xfId="59730" xr:uid="{00000000-0005-0000-0000-000086E90000}"/>
    <cellStyle name="Обычный 4 3_объемы 2018г111" xfId="59731" xr:uid="{00000000-0005-0000-0000-000087E90000}"/>
    <cellStyle name="Обычный 4 30" xfId="59732" xr:uid="{00000000-0005-0000-0000-000088E90000}"/>
    <cellStyle name="Обычный 4 31" xfId="59733" xr:uid="{00000000-0005-0000-0000-000089E90000}"/>
    <cellStyle name="Обычный 4 32" xfId="59734" xr:uid="{00000000-0005-0000-0000-00008AE90000}"/>
    <cellStyle name="Обычный 4 33" xfId="61321" xr:uid="{00000000-0005-0000-0000-00008BE90000}"/>
    <cellStyle name="Обычный 4 4" xfId="59735" xr:uid="{00000000-0005-0000-0000-00008CE90000}"/>
    <cellStyle name="Обычный 4 4 2" xfId="59736" xr:uid="{00000000-0005-0000-0000-00008DE90000}"/>
    <cellStyle name="Обычный 4 4 2 2" xfId="59737" xr:uid="{00000000-0005-0000-0000-00008EE90000}"/>
    <cellStyle name="Обычный 4 4 2 2 2" xfId="59738" xr:uid="{00000000-0005-0000-0000-00008FE90000}"/>
    <cellStyle name="Обычный 4 4 2 2 2 2" xfId="59739" xr:uid="{00000000-0005-0000-0000-000090E90000}"/>
    <cellStyle name="Обычный 4 4 2 2 2 3" xfId="59740" xr:uid="{00000000-0005-0000-0000-000091E90000}"/>
    <cellStyle name="Обычный 4 4 2 2 3" xfId="59741" xr:uid="{00000000-0005-0000-0000-000092E90000}"/>
    <cellStyle name="Обычный 4 4 2 2 3 2" xfId="59742" xr:uid="{00000000-0005-0000-0000-000093E90000}"/>
    <cellStyle name="Обычный 4 4 2 2 3 3" xfId="59743" xr:uid="{00000000-0005-0000-0000-000094E90000}"/>
    <cellStyle name="Обычный 4 4 2 2 4" xfId="59744" xr:uid="{00000000-0005-0000-0000-000095E90000}"/>
    <cellStyle name="Обычный 4 4 2 2 5" xfId="59745" xr:uid="{00000000-0005-0000-0000-000096E90000}"/>
    <cellStyle name="Обычный 4 4 2 3" xfId="59746" xr:uid="{00000000-0005-0000-0000-000097E90000}"/>
    <cellStyle name="Обычный 4 4 2 3 2" xfId="59747" xr:uid="{00000000-0005-0000-0000-000098E90000}"/>
    <cellStyle name="Обычный 4 4 2 3 3" xfId="59748" xr:uid="{00000000-0005-0000-0000-000099E90000}"/>
    <cellStyle name="Обычный 4 4 2 4" xfId="59749" xr:uid="{00000000-0005-0000-0000-00009AE90000}"/>
    <cellStyle name="Обычный 4 4 2 4 2" xfId="59750" xr:uid="{00000000-0005-0000-0000-00009BE90000}"/>
    <cellStyle name="Обычный 4 4 2 4 3" xfId="59751" xr:uid="{00000000-0005-0000-0000-00009CE90000}"/>
    <cellStyle name="Обычный 4 4 2 5" xfId="59752" xr:uid="{00000000-0005-0000-0000-00009DE90000}"/>
    <cellStyle name="Обычный 4 4 2 6" xfId="59753" xr:uid="{00000000-0005-0000-0000-00009EE90000}"/>
    <cellStyle name="Обычный 4 4 2_объемы 2018г111" xfId="59754" xr:uid="{00000000-0005-0000-0000-00009FE90000}"/>
    <cellStyle name="Обычный 4 4 3" xfId="59755" xr:uid="{00000000-0005-0000-0000-0000A0E90000}"/>
    <cellStyle name="Обычный 4 4 3 2" xfId="59756" xr:uid="{00000000-0005-0000-0000-0000A1E90000}"/>
    <cellStyle name="Обычный 4 4 3 2 2" xfId="59757" xr:uid="{00000000-0005-0000-0000-0000A2E90000}"/>
    <cellStyle name="Обычный 4 4 3 2 3" xfId="59758" xr:uid="{00000000-0005-0000-0000-0000A3E90000}"/>
    <cellStyle name="Обычный 4 4 3 3" xfId="59759" xr:uid="{00000000-0005-0000-0000-0000A4E90000}"/>
    <cellStyle name="Обычный 4 4 3 3 2" xfId="59760" xr:uid="{00000000-0005-0000-0000-0000A5E90000}"/>
    <cellStyle name="Обычный 4 4 3 3 3" xfId="59761" xr:uid="{00000000-0005-0000-0000-0000A6E90000}"/>
    <cellStyle name="Обычный 4 4 3 4" xfId="59762" xr:uid="{00000000-0005-0000-0000-0000A7E90000}"/>
    <cellStyle name="Обычный 4 4 3 5" xfId="59763" xr:uid="{00000000-0005-0000-0000-0000A8E90000}"/>
    <cellStyle name="Обычный 4 4 4" xfId="59764" xr:uid="{00000000-0005-0000-0000-0000A9E90000}"/>
    <cellStyle name="Обычный 4 4 4 2" xfId="59765" xr:uid="{00000000-0005-0000-0000-0000AAE90000}"/>
    <cellStyle name="Обычный 4 4 4 3" xfId="59766" xr:uid="{00000000-0005-0000-0000-0000ABE90000}"/>
    <cellStyle name="Обычный 4 4 5" xfId="59767" xr:uid="{00000000-0005-0000-0000-0000ACE90000}"/>
    <cellStyle name="Обычный 4 4 5 2" xfId="59768" xr:uid="{00000000-0005-0000-0000-0000ADE90000}"/>
    <cellStyle name="Обычный 4 4 5 3" xfId="59769" xr:uid="{00000000-0005-0000-0000-0000AEE90000}"/>
    <cellStyle name="Обычный 4 4 6" xfId="59770" xr:uid="{00000000-0005-0000-0000-0000AFE90000}"/>
    <cellStyle name="Обычный 4 4 7" xfId="59771" xr:uid="{00000000-0005-0000-0000-0000B0E90000}"/>
    <cellStyle name="Обычный 4 4_объемы 2018г111" xfId="59772" xr:uid="{00000000-0005-0000-0000-0000B1E90000}"/>
    <cellStyle name="Обычный 4 5" xfId="59773" xr:uid="{00000000-0005-0000-0000-0000B2E90000}"/>
    <cellStyle name="Обычный 4 5 2" xfId="59774" xr:uid="{00000000-0005-0000-0000-0000B3E90000}"/>
    <cellStyle name="Обычный 4 5 2 2" xfId="59775" xr:uid="{00000000-0005-0000-0000-0000B4E90000}"/>
    <cellStyle name="Обычный 4 5 2 2 2" xfId="59776" xr:uid="{00000000-0005-0000-0000-0000B5E90000}"/>
    <cellStyle name="Обычный 4 5 2 2 3" xfId="59777" xr:uid="{00000000-0005-0000-0000-0000B6E90000}"/>
    <cellStyle name="Обычный 4 5 2 3" xfId="59778" xr:uid="{00000000-0005-0000-0000-0000B7E90000}"/>
    <cellStyle name="Обычный 4 5 2 3 2" xfId="59779" xr:uid="{00000000-0005-0000-0000-0000B8E90000}"/>
    <cellStyle name="Обычный 4 5 2 3 3" xfId="59780" xr:uid="{00000000-0005-0000-0000-0000B9E90000}"/>
    <cellStyle name="Обычный 4 5 2 4" xfId="59781" xr:uid="{00000000-0005-0000-0000-0000BAE90000}"/>
    <cellStyle name="Обычный 4 5 2 5" xfId="59782" xr:uid="{00000000-0005-0000-0000-0000BBE90000}"/>
    <cellStyle name="Обычный 4 5 3" xfId="59783" xr:uid="{00000000-0005-0000-0000-0000BCE90000}"/>
    <cellStyle name="Обычный 4 5 3 2" xfId="59784" xr:uid="{00000000-0005-0000-0000-0000BDE90000}"/>
    <cellStyle name="Обычный 4 5 3 3" xfId="59785" xr:uid="{00000000-0005-0000-0000-0000BEE90000}"/>
    <cellStyle name="Обычный 4 5 4" xfId="59786" xr:uid="{00000000-0005-0000-0000-0000BFE90000}"/>
    <cellStyle name="Обычный 4 5 4 2" xfId="59787" xr:uid="{00000000-0005-0000-0000-0000C0E90000}"/>
    <cellStyle name="Обычный 4 5 4 3" xfId="59788" xr:uid="{00000000-0005-0000-0000-0000C1E90000}"/>
    <cellStyle name="Обычный 4 5 5" xfId="59789" xr:uid="{00000000-0005-0000-0000-0000C2E90000}"/>
    <cellStyle name="Обычный 4 5 6" xfId="59790" xr:uid="{00000000-0005-0000-0000-0000C3E90000}"/>
    <cellStyle name="Обычный 4 5_объемы 2018г111" xfId="59791" xr:uid="{00000000-0005-0000-0000-0000C4E90000}"/>
    <cellStyle name="Обычный 4 6" xfId="59792" xr:uid="{00000000-0005-0000-0000-0000C5E90000}"/>
    <cellStyle name="Обычный 4 6 2" xfId="59793" xr:uid="{00000000-0005-0000-0000-0000C6E90000}"/>
    <cellStyle name="Обычный 4 6 2 2" xfId="59794" xr:uid="{00000000-0005-0000-0000-0000C7E90000}"/>
    <cellStyle name="Обычный 4 6 2 3" xfId="59795" xr:uid="{00000000-0005-0000-0000-0000C8E90000}"/>
    <cellStyle name="Обычный 4 6 3" xfId="59796" xr:uid="{00000000-0005-0000-0000-0000C9E90000}"/>
    <cellStyle name="Обычный 4 6 3 2" xfId="59797" xr:uid="{00000000-0005-0000-0000-0000CAE90000}"/>
    <cellStyle name="Обычный 4 6 3 3" xfId="59798" xr:uid="{00000000-0005-0000-0000-0000CBE90000}"/>
    <cellStyle name="Обычный 4 6 4" xfId="59799" xr:uid="{00000000-0005-0000-0000-0000CCE90000}"/>
    <cellStyle name="Обычный 4 6 5" xfId="59800" xr:uid="{00000000-0005-0000-0000-0000CDE90000}"/>
    <cellStyle name="Обычный 4 7" xfId="59801" xr:uid="{00000000-0005-0000-0000-0000CEE90000}"/>
    <cellStyle name="Обычный 4 7 2" xfId="59802" xr:uid="{00000000-0005-0000-0000-0000CFE90000}"/>
    <cellStyle name="Обычный 4 7 2 2" xfId="59803" xr:uid="{00000000-0005-0000-0000-0000D0E90000}"/>
    <cellStyle name="Обычный 4 7 2 3" xfId="59804" xr:uid="{00000000-0005-0000-0000-0000D1E90000}"/>
    <cellStyle name="Обычный 4 7 3" xfId="59805" xr:uid="{00000000-0005-0000-0000-0000D2E90000}"/>
    <cellStyle name="Обычный 4 7 3 2" xfId="59806" xr:uid="{00000000-0005-0000-0000-0000D3E90000}"/>
    <cellStyle name="Обычный 4 7 3 3" xfId="59807" xr:uid="{00000000-0005-0000-0000-0000D4E90000}"/>
    <cellStyle name="Обычный 4 7 4" xfId="59808" xr:uid="{00000000-0005-0000-0000-0000D5E90000}"/>
    <cellStyle name="Обычный 4 7 5" xfId="59809" xr:uid="{00000000-0005-0000-0000-0000D6E90000}"/>
    <cellStyle name="Обычный 4 8" xfId="59810" xr:uid="{00000000-0005-0000-0000-0000D7E90000}"/>
    <cellStyle name="Обычный 4 8 2" xfId="59811" xr:uid="{00000000-0005-0000-0000-0000D8E90000}"/>
    <cellStyle name="Обычный 4 8 2 2" xfId="59812" xr:uid="{00000000-0005-0000-0000-0000D9E90000}"/>
    <cellStyle name="Обычный 4 8 2 3" xfId="59813" xr:uid="{00000000-0005-0000-0000-0000DAE90000}"/>
    <cellStyle name="Обычный 4 8 3" xfId="59814" xr:uid="{00000000-0005-0000-0000-0000DBE90000}"/>
    <cellStyle name="Обычный 4 8 3 2" xfId="59815" xr:uid="{00000000-0005-0000-0000-0000DCE90000}"/>
    <cellStyle name="Обычный 4 8 3 3" xfId="59816" xr:uid="{00000000-0005-0000-0000-0000DDE90000}"/>
    <cellStyle name="Обычный 4 8 4" xfId="59817" xr:uid="{00000000-0005-0000-0000-0000DEE90000}"/>
    <cellStyle name="Обычный 4 8 5" xfId="59818" xr:uid="{00000000-0005-0000-0000-0000DFE90000}"/>
    <cellStyle name="Обычный 4 9" xfId="59819" xr:uid="{00000000-0005-0000-0000-0000E0E90000}"/>
    <cellStyle name="Обычный 4 9 2" xfId="59820" xr:uid="{00000000-0005-0000-0000-0000E1E90000}"/>
    <cellStyle name="Обычный 4 9 2 2" xfId="59821" xr:uid="{00000000-0005-0000-0000-0000E2E90000}"/>
    <cellStyle name="Обычный 4 9 2 3" xfId="59822" xr:uid="{00000000-0005-0000-0000-0000E3E90000}"/>
    <cellStyle name="Обычный 4 9 3" xfId="59823" xr:uid="{00000000-0005-0000-0000-0000E4E90000}"/>
    <cellStyle name="Обычный 4 9 3 2" xfId="59824" xr:uid="{00000000-0005-0000-0000-0000E5E90000}"/>
    <cellStyle name="Обычный 4 9 3 3" xfId="59825" xr:uid="{00000000-0005-0000-0000-0000E6E90000}"/>
    <cellStyle name="Обычный 4 9 4" xfId="59826" xr:uid="{00000000-0005-0000-0000-0000E7E90000}"/>
    <cellStyle name="Обычный 4 9 5" xfId="59827" xr:uid="{00000000-0005-0000-0000-0000E8E90000}"/>
    <cellStyle name="Обычный 4_объемы 2018г111" xfId="59828" xr:uid="{00000000-0005-0000-0000-0000E9E90000}"/>
    <cellStyle name="Обычный 40" xfId="59829" xr:uid="{00000000-0005-0000-0000-0000EAE90000}"/>
    <cellStyle name="Обычный 40 2" xfId="59830" xr:uid="{00000000-0005-0000-0000-0000EBE90000}"/>
    <cellStyle name="Обычный 40 2 2" xfId="59831" xr:uid="{00000000-0005-0000-0000-0000ECE90000}"/>
    <cellStyle name="Обычный 40 2 3" xfId="59832" xr:uid="{00000000-0005-0000-0000-0000EDE90000}"/>
    <cellStyle name="Обычный 40 3" xfId="59833" xr:uid="{00000000-0005-0000-0000-0000EEE90000}"/>
    <cellStyle name="Обычный 40 3 2" xfId="59834" xr:uid="{00000000-0005-0000-0000-0000EFE90000}"/>
    <cellStyle name="Обычный 40 3 3" xfId="59835" xr:uid="{00000000-0005-0000-0000-0000F0E90000}"/>
    <cellStyle name="Обычный 40 4" xfId="59836" xr:uid="{00000000-0005-0000-0000-0000F1E90000}"/>
    <cellStyle name="Обычный 40 5" xfId="59837" xr:uid="{00000000-0005-0000-0000-0000F2E90000}"/>
    <cellStyle name="Обычный 41" xfId="59838" xr:uid="{00000000-0005-0000-0000-0000F3E90000}"/>
    <cellStyle name="Обычный 41 2" xfId="59839" xr:uid="{00000000-0005-0000-0000-0000F4E90000}"/>
    <cellStyle name="Обычный 41 2 2" xfId="59840" xr:uid="{00000000-0005-0000-0000-0000F5E90000}"/>
    <cellStyle name="Обычный 41 2 3" xfId="59841" xr:uid="{00000000-0005-0000-0000-0000F6E90000}"/>
    <cellStyle name="Обычный 41 3" xfId="59842" xr:uid="{00000000-0005-0000-0000-0000F7E90000}"/>
    <cellStyle name="Обычный 41 3 2" xfId="59843" xr:uid="{00000000-0005-0000-0000-0000F8E90000}"/>
    <cellStyle name="Обычный 41 3 3" xfId="59844" xr:uid="{00000000-0005-0000-0000-0000F9E90000}"/>
    <cellStyle name="Обычный 41 4" xfId="59845" xr:uid="{00000000-0005-0000-0000-0000FAE90000}"/>
    <cellStyle name="Обычный 41 5" xfId="59846" xr:uid="{00000000-0005-0000-0000-0000FBE90000}"/>
    <cellStyle name="Обычный 42" xfId="59847" xr:uid="{00000000-0005-0000-0000-0000FCE90000}"/>
    <cellStyle name="Обычный 42 2" xfId="59848" xr:uid="{00000000-0005-0000-0000-0000FDE90000}"/>
    <cellStyle name="Обычный 42 2 2" xfId="59849" xr:uid="{00000000-0005-0000-0000-0000FEE90000}"/>
    <cellStyle name="Обычный 42 2 3" xfId="59850" xr:uid="{00000000-0005-0000-0000-0000FFE90000}"/>
    <cellStyle name="Обычный 42 3" xfId="59851" xr:uid="{00000000-0005-0000-0000-000000EA0000}"/>
    <cellStyle name="Обычный 42 3 2" xfId="59852" xr:uid="{00000000-0005-0000-0000-000001EA0000}"/>
    <cellStyle name="Обычный 42 3 3" xfId="59853" xr:uid="{00000000-0005-0000-0000-000002EA0000}"/>
    <cellStyle name="Обычный 42 4" xfId="59854" xr:uid="{00000000-0005-0000-0000-000003EA0000}"/>
    <cellStyle name="Обычный 42 5" xfId="59855" xr:uid="{00000000-0005-0000-0000-000004EA0000}"/>
    <cellStyle name="Обычный 43" xfId="59856" xr:uid="{00000000-0005-0000-0000-000005EA0000}"/>
    <cellStyle name="Обычный 43 2" xfId="59857" xr:uid="{00000000-0005-0000-0000-000006EA0000}"/>
    <cellStyle name="Обычный 43 2 2" xfId="59858" xr:uid="{00000000-0005-0000-0000-000007EA0000}"/>
    <cellStyle name="Обычный 43 2 3" xfId="59859" xr:uid="{00000000-0005-0000-0000-000008EA0000}"/>
    <cellStyle name="Обычный 43 3" xfId="59860" xr:uid="{00000000-0005-0000-0000-000009EA0000}"/>
    <cellStyle name="Обычный 43 3 2" xfId="59861" xr:uid="{00000000-0005-0000-0000-00000AEA0000}"/>
    <cellStyle name="Обычный 43 3 3" xfId="59862" xr:uid="{00000000-0005-0000-0000-00000BEA0000}"/>
    <cellStyle name="Обычный 43 4" xfId="59863" xr:uid="{00000000-0005-0000-0000-00000CEA0000}"/>
    <cellStyle name="Обычный 43 5" xfId="59864" xr:uid="{00000000-0005-0000-0000-00000DEA0000}"/>
    <cellStyle name="Обычный 44" xfId="59865" xr:uid="{00000000-0005-0000-0000-00000EEA0000}"/>
    <cellStyle name="Обычный 44 2" xfId="59866" xr:uid="{00000000-0005-0000-0000-00000FEA0000}"/>
    <cellStyle name="Обычный 44 2 2" xfId="59867" xr:uid="{00000000-0005-0000-0000-000010EA0000}"/>
    <cellStyle name="Обычный 44 2 3" xfId="59868" xr:uid="{00000000-0005-0000-0000-000011EA0000}"/>
    <cellStyle name="Обычный 44 3" xfId="59869" xr:uid="{00000000-0005-0000-0000-000012EA0000}"/>
    <cellStyle name="Обычный 44 3 2" xfId="59870" xr:uid="{00000000-0005-0000-0000-000013EA0000}"/>
    <cellStyle name="Обычный 44 3 3" xfId="59871" xr:uid="{00000000-0005-0000-0000-000014EA0000}"/>
    <cellStyle name="Обычный 44 4" xfId="59872" xr:uid="{00000000-0005-0000-0000-000015EA0000}"/>
    <cellStyle name="Обычный 44 5" xfId="59873" xr:uid="{00000000-0005-0000-0000-000016EA0000}"/>
    <cellStyle name="Обычный 45" xfId="59874" xr:uid="{00000000-0005-0000-0000-000017EA0000}"/>
    <cellStyle name="Обычный 45 2" xfId="59875" xr:uid="{00000000-0005-0000-0000-000018EA0000}"/>
    <cellStyle name="Обычный 45 2 2" xfId="59876" xr:uid="{00000000-0005-0000-0000-000019EA0000}"/>
    <cellStyle name="Обычный 45 2 3" xfId="59877" xr:uid="{00000000-0005-0000-0000-00001AEA0000}"/>
    <cellStyle name="Обычный 45 3" xfId="59878" xr:uid="{00000000-0005-0000-0000-00001BEA0000}"/>
    <cellStyle name="Обычный 45 3 2" xfId="59879" xr:uid="{00000000-0005-0000-0000-00001CEA0000}"/>
    <cellStyle name="Обычный 45 3 3" xfId="59880" xr:uid="{00000000-0005-0000-0000-00001DEA0000}"/>
    <cellStyle name="Обычный 45 4" xfId="59881" xr:uid="{00000000-0005-0000-0000-00001EEA0000}"/>
    <cellStyle name="Обычный 45 5" xfId="59882" xr:uid="{00000000-0005-0000-0000-00001FEA0000}"/>
    <cellStyle name="Обычный 46" xfId="59883" xr:uid="{00000000-0005-0000-0000-000020EA0000}"/>
    <cellStyle name="Обычный 46 2" xfId="59884" xr:uid="{00000000-0005-0000-0000-000021EA0000}"/>
    <cellStyle name="Обычный 46 2 2" xfId="59885" xr:uid="{00000000-0005-0000-0000-000022EA0000}"/>
    <cellStyle name="Обычный 46 2 3" xfId="59886" xr:uid="{00000000-0005-0000-0000-000023EA0000}"/>
    <cellStyle name="Обычный 46 3" xfId="59887" xr:uid="{00000000-0005-0000-0000-000024EA0000}"/>
    <cellStyle name="Обычный 46 3 2" xfId="59888" xr:uid="{00000000-0005-0000-0000-000025EA0000}"/>
    <cellStyle name="Обычный 46 3 3" xfId="59889" xr:uid="{00000000-0005-0000-0000-000026EA0000}"/>
    <cellStyle name="Обычный 46 4" xfId="59890" xr:uid="{00000000-0005-0000-0000-000027EA0000}"/>
    <cellStyle name="Обычный 46 5" xfId="59891" xr:uid="{00000000-0005-0000-0000-000028EA0000}"/>
    <cellStyle name="Обычный 47" xfId="59892" xr:uid="{00000000-0005-0000-0000-000029EA0000}"/>
    <cellStyle name="Обычный 47 2" xfId="59893" xr:uid="{00000000-0005-0000-0000-00002AEA0000}"/>
    <cellStyle name="Обычный 47 2 2" xfId="59894" xr:uid="{00000000-0005-0000-0000-00002BEA0000}"/>
    <cellStyle name="Обычный 47 2 3" xfId="59895" xr:uid="{00000000-0005-0000-0000-00002CEA0000}"/>
    <cellStyle name="Обычный 47 3" xfId="59896" xr:uid="{00000000-0005-0000-0000-00002DEA0000}"/>
    <cellStyle name="Обычный 47 3 2" xfId="59897" xr:uid="{00000000-0005-0000-0000-00002EEA0000}"/>
    <cellStyle name="Обычный 47 3 3" xfId="59898" xr:uid="{00000000-0005-0000-0000-00002FEA0000}"/>
    <cellStyle name="Обычный 47 4" xfId="59899" xr:uid="{00000000-0005-0000-0000-000030EA0000}"/>
    <cellStyle name="Обычный 47 5" xfId="59900" xr:uid="{00000000-0005-0000-0000-000031EA0000}"/>
    <cellStyle name="Обычный 48" xfId="59901" xr:uid="{00000000-0005-0000-0000-000032EA0000}"/>
    <cellStyle name="Обычный 48 2" xfId="59902" xr:uid="{00000000-0005-0000-0000-000033EA0000}"/>
    <cellStyle name="Обычный 48 2 2" xfId="59903" xr:uid="{00000000-0005-0000-0000-000034EA0000}"/>
    <cellStyle name="Обычный 48 2 3" xfId="59904" xr:uid="{00000000-0005-0000-0000-000035EA0000}"/>
    <cellStyle name="Обычный 48 3" xfId="59905" xr:uid="{00000000-0005-0000-0000-000036EA0000}"/>
    <cellStyle name="Обычный 48 3 2" xfId="59906" xr:uid="{00000000-0005-0000-0000-000037EA0000}"/>
    <cellStyle name="Обычный 48 3 3" xfId="59907" xr:uid="{00000000-0005-0000-0000-000038EA0000}"/>
    <cellStyle name="Обычный 48 4" xfId="59908" xr:uid="{00000000-0005-0000-0000-000039EA0000}"/>
    <cellStyle name="Обычный 48 5" xfId="59909" xr:uid="{00000000-0005-0000-0000-00003AEA0000}"/>
    <cellStyle name="Обычный 49" xfId="59910" xr:uid="{00000000-0005-0000-0000-00003BEA0000}"/>
    <cellStyle name="Обычный 49 2" xfId="59911" xr:uid="{00000000-0005-0000-0000-00003CEA0000}"/>
    <cellStyle name="Обычный 49 2 2" xfId="59912" xr:uid="{00000000-0005-0000-0000-00003DEA0000}"/>
    <cellStyle name="Обычный 49 2 3" xfId="59913" xr:uid="{00000000-0005-0000-0000-00003EEA0000}"/>
    <cellStyle name="Обычный 49 3" xfId="59914" xr:uid="{00000000-0005-0000-0000-00003FEA0000}"/>
    <cellStyle name="Обычный 49 3 2" xfId="59915" xr:uid="{00000000-0005-0000-0000-000040EA0000}"/>
    <cellStyle name="Обычный 49 3 3" xfId="59916" xr:uid="{00000000-0005-0000-0000-000041EA0000}"/>
    <cellStyle name="Обычный 49 4" xfId="59917" xr:uid="{00000000-0005-0000-0000-000042EA0000}"/>
    <cellStyle name="Обычный 49 5" xfId="59918" xr:uid="{00000000-0005-0000-0000-000043EA0000}"/>
    <cellStyle name="Обычный 5" xfId="59919" xr:uid="{00000000-0005-0000-0000-000044EA0000}"/>
    <cellStyle name="Обычный 5 2" xfId="59920" xr:uid="{00000000-0005-0000-0000-000045EA0000}"/>
    <cellStyle name="Обычный 5 3" xfId="59921" xr:uid="{00000000-0005-0000-0000-000046EA0000}"/>
    <cellStyle name="Обычный 50" xfId="59922" xr:uid="{00000000-0005-0000-0000-000047EA0000}"/>
    <cellStyle name="Обычный 50 2" xfId="59923" xr:uid="{00000000-0005-0000-0000-000048EA0000}"/>
    <cellStyle name="Обычный 50 2 2" xfId="59924" xr:uid="{00000000-0005-0000-0000-000049EA0000}"/>
    <cellStyle name="Обычный 50 2 3" xfId="59925" xr:uid="{00000000-0005-0000-0000-00004AEA0000}"/>
    <cellStyle name="Обычный 50 3" xfId="59926" xr:uid="{00000000-0005-0000-0000-00004BEA0000}"/>
    <cellStyle name="Обычный 50 3 2" xfId="59927" xr:uid="{00000000-0005-0000-0000-00004CEA0000}"/>
    <cellStyle name="Обычный 50 3 3" xfId="59928" xr:uid="{00000000-0005-0000-0000-00004DEA0000}"/>
    <cellStyle name="Обычный 50 4" xfId="59929" xr:uid="{00000000-0005-0000-0000-00004EEA0000}"/>
    <cellStyle name="Обычный 50 5" xfId="59930" xr:uid="{00000000-0005-0000-0000-00004FEA0000}"/>
    <cellStyle name="Обычный 51" xfId="59931" xr:uid="{00000000-0005-0000-0000-000050EA0000}"/>
    <cellStyle name="Обычный 51 2" xfId="59932" xr:uid="{00000000-0005-0000-0000-000051EA0000}"/>
    <cellStyle name="Обычный 51 2 2" xfId="59933" xr:uid="{00000000-0005-0000-0000-000052EA0000}"/>
    <cellStyle name="Обычный 51 2 3" xfId="59934" xr:uid="{00000000-0005-0000-0000-000053EA0000}"/>
    <cellStyle name="Обычный 51 3" xfId="59935" xr:uid="{00000000-0005-0000-0000-000054EA0000}"/>
    <cellStyle name="Обычный 51 3 2" xfId="59936" xr:uid="{00000000-0005-0000-0000-000055EA0000}"/>
    <cellStyle name="Обычный 51 3 3" xfId="59937" xr:uid="{00000000-0005-0000-0000-000056EA0000}"/>
    <cellStyle name="Обычный 51 4" xfId="59938" xr:uid="{00000000-0005-0000-0000-000057EA0000}"/>
    <cellStyle name="Обычный 51 5" xfId="59939" xr:uid="{00000000-0005-0000-0000-000058EA0000}"/>
    <cellStyle name="Обычный 52" xfId="59940" xr:uid="{00000000-0005-0000-0000-000059EA0000}"/>
    <cellStyle name="Обычный 52 2" xfId="59941" xr:uid="{00000000-0005-0000-0000-00005AEA0000}"/>
    <cellStyle name="Обычный 52 2 2" xfId="59942" xr:uid="{00000000-0005-0000-0000-00005BEA0000}"/>
    <cellStyle name="Обычный 52 2 3" xfId="59943" xr:uid="{00000000-0005-0000-0000-00005CEA0000}"/>
    <cellStyle name="Обычный 52 3" xfId="59944" xr:uid="{00000000-0005-0000-0000-00005DEA0000}"/>
    <cellStyle name="Обычный 52 3 2" xfId="59945" xr:uid="{00000000-0005-0000-0000-00005EEA0000}"/>
    <cellStyle name="Обычный 52 3 3" xfId="59946" xr:uid="{00000000-0005-0000-0000-00005FEA0000}"/>
    <cellStyle name="Обычный 52 4" xfId="59947" xr:uid="{00000000-0005-0000-0000-000060EA0000}"/>
    <cellStyle name="Обычный 52 5" xfId="59948" xr:uid="{00000000-0005-0000-0000-000061EA0000}"/>
    <cellStyle name="Обычный 53" xfId="59949" xr:uid="{00000000-0005-0000-0000-000062EA0000}"/>
    <cellStyle name="Обычный 53 2" xfId="59950" xr:uid="{00000000-0005-0000-0000-000063EA0000}"/>
    <cellStyle name="Обычный 53 2 2" xfId="59951" xr:uid="{00000000-0005-0000-0000-000064EA0000}"/>
    <cellStyle name="Обычный 53 2 3" xfId="59952" xr:uid="{00000000-0005-0000-0000-000065EA0000}"/>
    <cellStyle name="Обычный 53 3" xfId="59953" xr:uid="{00000000-0005-0000-0000-000066EA0000}"/>
    <cellStyle name="Обычный 53 3 2" xfId="59954" xr:uid="{00000000-0005-0000-0000-000067EA0000}"/>
    <cellStyle name="Обычный 53 3 3" xfId="59955" xr:uid="{00000000-0005-0000-0000-000068EA0000}"/>
    <cellStyle name="Обычный 53 4" xfId="59956" xr:uid="{00000000-0005-0000-0000-000069EA0000}"/>
    <cellStyle name="Обычный 53 5" xfId="59957" xr:uid="{00000000-0005-0000-0000-00006AEA0000}"/>
    <cellStyle name="Обычный 54" xfId="59958" xr:uid="{00000000-0005-0000-0000-00006BEA0000}"/>
    <cellStyle name="Обычный 54 2" xfId="59959" xr:uid="{00000000-0005-0000-0000-00006CEA0000}"/>
    <cellStyle name="Обычный 54 2 2" xfId="59960" xr:uid="{00000000-0005-0000-0000-00006DEA0000}"/>
    <cellStyle name="Обычный 54 2 3" xfId="59961" xr:uid="{00000000-0005-0000-0000-00006EEA0000}"/>
    <cellStyle name="Обычный 54 3" xfId="59962" xr:uid="{00000000-0005-0000-0000-00006FEA0000}"/>
    <cellStyle name="Обычный 54 3 2" xfId="59963" xr:uid="{00000000-0005-0000-0000-000070EA0000}"/>
    <cellStyle name="Обычный 54 3 3" xfId="59964" xr:uid="{00000000-0005-0000-0000-000071EA0000}"/>
    <cellStyle name="Обычный 54 4" xfId="59965" xr:uid="{00000000-0005-0000-0000-000072EA0000}"/>
    <cellStyle name="Обычный 54 5" xfId="59966" xr:uid="{00000000-0005-0000-0000-000073EA0000}"/>
    <cellStyle name="Обычный 55" xfId="59967" xr:uid="{00000000-0005-0000-0000-000074EA0000}"/>
    <cellStyle name="Обычный 55 2" xfId="59968" xr:uid="{00000000-0005-0000-0000-000075EA0000}"/>
    <cellStyle name="Обычный 55 2 2" xfId="59969" xr:uid="{00000000-0005-0000-0000-000076EA0000}"/>
    <cellStyle name="Обычный 55 2 3" xfId="59970" xr:uid="{00000000-0005-0000-0000-000077EA0000}"/>
    <cellStyle name="Обычный 55 3" xfId="59971" xr:uid="{00000000-0005-0000-0000-000078EA0000}"/>
    <cellStyle name="Обычный 55 3 2" xfId="59972" xr:uid="{00000000-0005-0000-0000-000079EA0000}"/>
    <cellStyle name="Обычный 55 3 3" xfId="59973" xr:uid="{00000000-0005-0000-0000-00007AEA0000}"/>
    <cellStyle name="Обычный 55 4" xfId="59974" xr:uid="{00000000-0005-0000-0000-00007BEA0000}"/>
    <cellStyle name="Обычный 55 5" xfId="59975" xr:uid="{00000000-0005-0000-0000-00007CEA0000}"/>
    <cellStyle name="Обычный 56" xfId="59976" xr:uid="{00000000-0005-0000-0000-00007DEA0000}"/>
    <cellStyle name="Обычный 56 2" xfId="59977" xr:uid="{00000000-0005-0000-0000-00007EEA0000}"/>
    <cellStyle name="Обычный 56 2 2" xfId="59978" xr:uid="{00000000-0005-0000-0000-00007FEA0000}"/>
    <cellStyle name="Обычный 56 2 3" xfId="59979" xr:uid="{00000000-0005-0000-0000-000080EA0000}"/>
    <cellStyle name="Обычный 56 3" xfId="59980" xr:uid="{00000000-0005-0000-0000-000081EA0000}"/>
    <cellStyle name="Обычный 56 3 2" xfId="59981" xr:uid="{00000000-0005-0000-0000-000082EA0000}"/>
    <cellStyle name="Обычный 56 3 3" xfId="59982" xr:uid="{00000000-0005-0000-0000-000083EA0000}"/>
    <cellStyle name="Обычный 56 4" xfId="59983" xr:uid="{00000000-0005-0000-0000-000084EA0000}"/>
    <cellStyle name="Обычный 56 5" xfId="59984" xr:uid="{00000000-0005-0000-0000-000085EA0000}"/>
    <cellStyle name="Обычный 57" xfId="59985" xr:uid="{00000000-0005-0000-0000-000086EA0000}"/>
    <cellStyle name="Обычный 57 2" xfId="59986" xr:uid="{00000000-0005-0000-0000-000087EA0000}"/>
    <cellStyle name="Обычный 57 2 2" xfId="59987" xr:uid="{00000000-0005-0000-0000-000088EA0000}"/>
    <cellStyle name="Обычный 57 2 3" xfId="59988" xr:uid="{00000000-0005-0000-0000-000089EA0000}"/>
    <cellStyle name="Обычный 57 3" xfId="59989" xr:uid="{00000000-0005-0000-0000-00008AEA0000}"/>
    <cellStyle name="Обычный 57 3 2" xfId="59990" xr:uid="{00000000-0005-0000-0000-00008BEA0000}"/>
    <cellStyle name="Обычный 57 3 3" xfId="59991" xr:uid="{00000000-0005-0000-0000-00008CEA0000}"/>
    <cellStyle name="Обычный 57 4" xfId="59992" xr:uid="{00000000-0005-0000-0000-00008DEA0000}"/>
    <cellStyle name="Обычный 57 5" xfId="59993" xr:uid="{00000000-0005-0000-0000-00008EEA0000}"/>
    <cellStyle name="Обычный 58" xfId="59994" xr:uid="{00000000-0005-0000-0000-00008FEA0000}"/>
    <cellStyle name="Обычный 58 2" xfId="59995" xr:uid="{00000000-0005-0000-0000-000090EA0000}"/>
    <cellStyle name="Обычный 58 2 2" xfId="59996" xr:uid="{00000000-0005-0000-0000-000091EA0000}"/>
    <cellStyle name="Обычный 58 2 3" xfId="59997" xr:uid="{00000000-0005-0000-0000-000092EA0000}"/>
    <cellStyle name="Обычный 58 3" xfId="59998" xr:uid="{00000000-0005-0000-0000-000093EA0000}"/>
    <cellStyle name="Обычный 58 3 2" xfId="59999" xr:uid="{00000000-0005-0000-0000-000094EA0000}"/>
    <cellStyle name="Обычный 58 3 3" xfId="60000" xr:uid="{00000000-0005-0000-0000-000095EA0000}"/>
    <cellStyle name="Обычный 58 4" xfId="60001" xr:uid="{00000000-0005-0000-0000-000096EA0000}"/>
    <cellStyle name="Обычный 58 5" xfId="60002" xr:uid="{00000000-0005-0000-0000-000097EA0000}"/>
    <cellStyle name="Обычный 59" xfId="60003" xr:uid="{00000000-0005-0000-0000-000098EA0000}"/>
    <cellStyle name="Обычный 59 2" xfId="60004" xr:uid="{00000000-0005-0000-0000-000099EA0000}"/>
    <cellStyle name="Обычный 59 2 2" xfId="60005" xr:uid="{00000000-0005-0000-0000-00009AEA0000}"/>
    <cellStyle name="Обычный 59 2 3" xfId="60006" xr:uid="{00000000-0005-0000-0000-00009BEA0000}"/>
    <cellStyle name="Обычный 59 3" xfId="60007" xr:uid="{00000000-0005-0000-0000-00009CEA0000}"/>
    <cellStyle name="Обычный 59 3 2" xfId="60008" xr:uid="{00000000-0005-0000-0000-00009DEA0000}"/>
    <cellStyle name="Обычный 59 3 3" xfId="60009" xr:uid="{00000000-0005-0000-0000-00009EEA0000}"/>
    <cellStyle name="Обычный 59 4" xfId="60010" xr:uid="{00000000-0005-0000-0000-00009FEA0000}"/>
    <cellStyle name="Обычный 59 5" xfId="60011" xr:uid="{00000000-0005-0000-0000-0000A0EA0000}"/>
    <cellStyle name="Обычный 6" xfId="60012" xr:uid="{00000000-0005-0000-0000-0000A1EA0000}"/>
    <cellStyle name="Обычный 6 10" xfId="60013" xr:uid="{00000000-0005-0000-0000-0000A2EA0000}"/>
    <cellStyle name="Обычный 6 11" xfId="60014" xr:uid="{00000000-0005-0000-0000-0000A3EA0000}"/>
    <cellStyle name="Обычный 6 12" xfId="60015" xr:uid="{00000000-0005-0000-0000-0000A4EA0000}"/>
    <cellStyle name="Обычный 6 13" xfId="60016" xr:uid="{00000000-0005-0000-0000-0000A5EA0000}"/>
    <cellStyle name="Обычный 6 14" xfId="60017" xr:uid="{00000000-0005-0000-0000-0000A6EA0000}"/>
    <cellStyle name="Обычный 6 15" xfId="60018" xr:uid="{00000000-0005-0000-0000-0000A7EA0000}"/>
    <cellStyle name="Обычный 6 16" xfId="60019" xr:uid="{00000000-0005-0000-0000-0000A8EA0000}"/>
    <cellStyle name="Обычный 6 17" xfId="60020" xr:uid="{00000000-0005-0000-0000-0000A9EA0000}"/>
    <cellStyle name="Обычный 6 18" xfId="60021" xr:uid="{00000000-0005-0000-0000-0000AAEA0000}"/>
    <cellStyle name="Обычный 6 19" xfId="60022" xr:uid="{00000000-0005-0000-0000-0000ABEA0000}"/>
    <cellStyle name="Обычный 6 19 2" xfId="60023" xr:uid="{00000000-0005-0000-0000-0000ACEA0000}"/>
    <cellStyle name="Обычный 6 19 3" xfId="60024" xr:uid="{00000000-0005-0000-0000-0000ADEA0000}"/>
    <cellStyle name="Обычный 6 19 4" xfId="60025" xr:uid="{00000000-0005-0000-0000-0000AEEA0000}"/>
    <cellStyle name="Обычный 6 19 5" xfId="60026" xr:uid="{00000000-0005-0000-0000-0000AFEA0000}"/>
    <cellStyle name="Обычный 6 19 6" xfId="60027" xr:uid="{00000000-0005-0000-0000-0000B0EA0000}"/>
    <cellStyle name="Обычный 6 19 7" xfId="60028" xr:uid="{00000000-0005-0000-0000-0000B1EA0000}"/>
    <cellStyle name="Обычный 6 19 8" xfId="61318" xr:uid="{00000000-0005-0000-0000-0000B2EA0000}"/>
    <cellStyle name="Обычный 6 2" xfId="60029" xr:uid="{00000000-0005-0000-0000-0000B3EA0000}"/>
    <cellStyle name="Обычный 6 2 2" xfId="60030" xr:uid="{00000000-0005-0000-0000-0000B4EA0000}"/>
    <cellStyle name="Обычный 6 2 2 2" xfId="60031" xr:uid="{00000000-0005-0000-0000-0000B5EA0000}"/>
    <cellStyle name="Обычный 6 2 3" xfId="60032" xr:uid="{00000000-0005-0000-0000-0000B6EA0000}"/>
    <cellStyle name="Обычный 6 20" xfId="60033" xr:uid="{00000000-0005-0000-0000-0000B7EA0000}"/>
    <cellStyle name="Обычный 6 3" xfId="60034" xr:uid="{00000000-0005-0000-0000-0000B8EA0000}"/>
    <cellStyle name="Обычный 6 3 2" xfId="60035" xr:uid="{00000000-0005-0000-0000-0000B9EA0000}"/>
    <cellStyle name="Обычный 6 3 2 2" xfId="60036" xr:uid="{00000000-0005-0000-0000-0000BAEA0000}"/>
    <cellStyle name="Обычный 6 3 3" xfId="60037" xr:uid="{00000000-0005-0000-0000-0000BBEA0000}"/>
    <cellStyle name="Обычный 6 4" xfId="60038" xr:uid="{00000000-0005-0000-0000-0000BCEA0000}"/>
    <cellStyle name="Обычный 6 4 2" xfId="60039" xr:uid="{00000000-0005-0000-0000-0000BDEA0000}"/>
    <cellStyle name="Обычный 6 4 2 2" xfId="60040" xr:uid="{00000000-0005-0000-0000-0000BEEA0000}"/>
    <cellStyle name="Обычный 6 4 3" xfId="60041" xr:uid="{00000000-0005-0000-0000-0000BFEA0000}"/>
    <cellStyle name="Обычный 6 5" xfId="60042" xr:uid="{00000000-0005-0000-0000-0000C0EA0000}"/>
    <cellStyle name="Обычный 6 5 2" xfId="60043" xr:uid="{00000000-0005-0000-0000-0000C1EA0000}"/>
    <cellStyle name="Обычный 6 6" xfId="60044" xr:uid="{00000000-0005-0000-0000-0000C2EA0000}"/>
    <cellStyle name="Обычный 6 6 2" xfId="60045" xr:uid="{00000000-0005-0000-0000-0000C3EA0000}"/>
    <cellStyle name="Обычный 6 7" xfId="60046" xr:uid="{00000000-0005-0000-0000-0000C4EA0000}"/>
    <cellStyle name="Обычный 6 7 2" xfId="60047" xr:uid="{00000000-0005-0000-0000-0000C5EA0000}"/>
    <cellStyle name="Обычный 6 8" xfId="60048" xr:uid="{00000000-0005-0000-0000-0000C6EA0000}"/>
    <cellStyle name="Обычный 6 9" xfId="60049" xr:uid="{00000000-0005-0000-0000-0000C7EA0000}"/>
    <cellStyle name="Обычный 60" xfId="60050" xr:uid="{00000000-0005-0000-0000-0000C8EA0000}"/>
    <cellStyle name="Обычный 60 2" xfId="60051" xr:uid="{00000000-0005-0000-0000-0000C9EA0000}"/>
    <cellStyle name="Обычный 60 2 2" xfId="60052" xr:uid="{00000000-0005-0000-0000-0000CAEA0000}"/>
    <cellStyle name="Обычный 60 2 3" xfId="60053" xr:uid="{00000000-0005-0000-0000-0000CBEA0000}"/>
    <cellStyle name="Обычный 60 3" xfId="60054" xr:uid="{00000000-0005-0000-0000-0000CCEA0000}"/>
    <cellStyle name="Обычный 60 3 2" xfId="60055" xr:uid="{00000000-0005-0000-0000-0000CDEA0000}"/>
    <cellStyle name="Обычный 60 3 3" xfId="60056" xr:uid="{00000000-0005-0000-0000-0000CEEA0000}"/>
    <cellStyle name="Обычный 60 4" xfId="60057" xr:uid="{00000000-0005-0000-0000-0000CFEA0000}"/>
    <cellStyle name="Обычный 60 5" xfId="60058" xr:uid="{00000000-0005-0000-0000-0000D0EA0000}"/>
    <cellStyle name="Обычный 61" xfId="60059" xr:uid="{00000000-0005-0000-0000-0000D1EA0000}"/>
    <cellStyle name="Обычный 61 2" xfId="60060" xr:uid="{00000000-0005-0000-0000-0000D2EA0000}"/>
    <cellStyle name="Обычный 61 2 2" xfId="60061" xr:uid="{00000000-0005-0000-0000-0000D3EA0000}"/>
    <cellStyle name="Обычный 61 2 3" xfId="60062" xr:uid="{00000000-0005-0000-0000-0000D4EA0000}"/>
    <cellStyle name="Обычный 61 3" xfId="60063" xr:uid="{00000000-0005-0000-0000-0000D5EA0000}"/>
    <cellStyle name="Обычный 61 3 2" xfId="60064" xr:uid="{00000000-0005-0000-0000-0000D6EA0000}"/>
    <cellStyle name="Обычный 61 3 3" xfId="60065" xr:uid="{00000000-0005-0000-0000-0000D7EA0000}"/>
    <cellStyle name="Обычный 61 4" xfId="60066" xr:uid="{00000000-0005-0000-0000-0000D8EA0000}"/>
    <cellStyle name="Обычный 61 5" xfId="60067" xr:uid="{00000000-0005-0000-0000-0000D9EA0000}"/>
    <cellStyle name="Обычный 62" xfId="60068" xr:uid="{00000000-0005-0000-0000-0000DAEA0000}"/>
    <cellStyle name="Обычный 62 2" xfId="60069" xr:uid="{00000000-0005-0000-0000-0000DBEA0000}"/>
    <cellStyle name="Обычный 62 2 2" xfId="60070" xr:uid="{00000000-0005-0000-0000-0000DCEA0000}"/>
    <cellStyle name="Обычный 62 2 3" xfId="60071" xr:uid="{00000000-0005-0000-0000-0000DDEA0000}"/>
    <cellStyle name="Обычный 62 3" xfId="60072" xr:uid="{00000000-0005-0000-0000-0000DEEA0000}"/>
    <cellStyle name="Обычный 62 3 2" xfId="60073" xr:uid="{00000000-0005-0000-0000-0000DFEA0000}"/>
    <cellStyle name="Обычный 62 3 3" xfId="60074" xr:uid="{00000000-0005-0000-0000-0000E0EA0000}"/>
    <cellStyle name="Обычный 62 4" xfId="60075" xr:uid="{00000000-0005-0000-0000-0000E1EA0000}"/>
    <cellStyle name="Обычный 62 5" xfId="60076" xr:uid="{00000000-0005-0000-0000-0000E2EA0000}"/>
    <cellStyle name="Обычный 63" xfId="60077" xr:uid="{00000000-0005-0000-0000-0000E3EA0000}"/>
    <cellStyle name="Обычный 63 2" xfId="60078" xr:uid="{00000000-0005-0000-0000-0000E4EA0000}"/>
    <cellStyle name="Обычный 63 2 2" xfId="60079" xr:uid="{00000000-0005-0000-0000-0000E5EA0000}"/>
    <cellStyle name="Обычный 63 2 3" xfId="60080" xr:uid="{00000000-0005-0000-0000-0000E6EA0000}"/>
    <cellStyle name="Обычный 63 3" xfId="60081" xr:uid="{00000000-0005-0000-0000-0000E7EA0000}"/>
    <cellStyle name="Обычный 63 3 2" xfId="60082" xr:uid="{00000000-0005-0000-0000-0000E8EA0000}"/>
    <cellStyle name="Обычный 63 3 3" xfId="60083" xr:uid="{00000000-0005-0000-0000-0000E9EA0000}"/>
    <cellStyle name="Обычный 63 4" xfId="60084" xr:uid="{00000000-0005-0000-0000-0000EAEA0000}"/>
    <cellStyle name="Обычный 63 5" xfId="60085" xr:uid="{00000000-0005-0000-0000-0000EBEA0000}"/>
    <cellStyle name="Обычный 64" xfId="60086" xr:uid="{00000000-0005-0000-0000-0000ECEA0000}"/>
    <cellStyle name="Обычный 64 2" xfId="60087" xr:uid="{00000000-0005-0000-0000-0000EDEA0000}"/>
    <cellStyle name="Обычный 64 2 2" xfId="60088" xr:uid="{00000000-0005-0000-0000-0000EEEA0000}"/>
    <cellStyle name="Обычный 64 2 3" xfId="60089" xr:uid="{00000000-0005-0000-0000-0000EFEA0000}"/>
    <cellStyle name="Обычный 64 3" xfId="60090" xr:uid="{00000000-0005-0000-0000-0000F0EA0000}"/>
    <cellStyle name="Обычный 64 3 2" xfId="60091" xr:uid="{00000000-0005-0000-0000-0000F1EA0000}"/>
    <cellStyle name="Обычный 64 3 3" xfId="60092" xr:uid="{00000000-0005-0000-0000-0000F2EA0000}"/>
    <cellStyle name="Обычный 64 4" xfId="60093" xr:uid="{00000000-0005-0000-0000-0000F3EA0000}"/>
    <cellStyle name="Обычный 64 5" xfId="60094" xr:uid="{00000000-0005-0000-0000-0000F4EA0000}"/>
    <cellStyle name="Обычный 65" xfId="60095" xr:uid="{00000000-0005-0000-0000-0000F5EA0000}"/>
    <cellStyle name="Обычный 65 2" xfId="60096" xr:uid="{00000000-0005-0000-0000-0000F6EA0000}"/>
    <cellStyle name="Обычный 65 2 2" xfId="60097" xr:uid="{00000000-0005-0000-0000-0000F7EA0000}"/>
    <cellStyle name="Обычный 65 2 3" xfId="60098" xr:uid="{00000000-0005-0000-0000-0000F8EA0000}"/>
    <cellStyle name="Обычный 65 3" xfId="60099" xr:uid="{00000000-0005-0000-0000-0000F9EA0000}"/>
    <cellStyle name="Обычный 65 3 2" xfId="60100" xr:uid="{00000000-0005-0000-0000-0000FAEA0000}"/>
    <cellStyle name="Обычный 65 3 3" xfId="60101" xr:uid="{00000000-0005-0000-0000-0000FBEA0000}"/>
    <cellStyle name="Обычный 65 4" xfId="60102" xr:uid="{00000000-0005-0000-0000-0000FCEA0000}"/>
    <cellStyle name="Обычный 65 5" xfId="60103" xr:uid="{00000000-0005-0000-0000-0000FDEA0000}"/>
    <cellStyle name="Обычный 66" xfId="60104" xr:uid="{00000000-0005-0000-0000-0000FEEA0000}"/>
    <cellStyle name="Обычный 66 2" xfId="60105" xr:uid="{00000000-0005-0000-0000-0000FFEA0000}"/>
    <cellStyle name="Обычный 66 2 2" xfId="60106" xr:uid="{00000000-0005-0000-0000-000000EB0000}"/>
    <cellStyle name="Обычный 66 2 3" xfId="60107" xr:uid="{00000000-0005-0000-0000-000001EB0000}"/>
    <cellStyle name="Обычный 66 3" xfId="60108" xr:uid="{00000000-0005-0000-0000-000002EB0000}"/>
    <cellStyle name="Обычный 66 3 2" xfId="60109" xr:uid="{00000000-0005-0000-0000-000003EB0000}"/>
    <cellStyle name="Обычный 66 3 3" xfId="60110" xr:uid="{00000000-0005-0000-0000-000004EB0000}"/>
    <cellStyle name="Обычный 66 4" xfId="60111" xr:uid="{00000000-0005-0000-0000-000005EB0000}"/>
    <cellStyle name="Обычный 66 5" xfId="60112" xr:uid="{00000000-0005-0000-0000-000006EB0000}"/>
    <cellStyle name="Обычный 67" xfId="60113" xr:uid="{00000000-0005-0000-0000-000007EB0000}"/>
    <cellStyle name="Обычный 67 2" xfId="60114" xr:uid="{00000000-0005-0000-0000-000008EB0000}"/>
    <cellStyle name="Обычный 67 3" xfId="60115" xr:uid="{00000000-0005-0000-0000-000009EB0000}"/>
    <cellStyle name="Обычный 68" xfId="60116" xr:uid="{00000000-0005-0000-0000-00000AEB0000}"/>
    <cellStyle name="Обычный 69" xfId="60117" xr:uid="{00000000-0005-0000-0000-00000BEB0000}"/>
    <cellStyle name="Обычный 69 2" xfId="60118" xr:uid="{00000000-0005-0000-0000-00000CEB0000}"/>
    <cellStyle name="Обычный 69 3" xfId="61306" xr:uid="{00000000-0005-0000-0000-00000DEB0000}"/>
    <cellStyle name="Обычный 7" xfId="60119" xr:uid="{00000000-0005-0000-0000-00000EEB0000}"/>
    <cellStyle name="Обычный 7 2" xfId="60120" xr:uid="{00000000-0005-0000-0000-00000FEB0000}"/>
    <cellStyle name="Обычный 7 2 2" xfId="60121" xr:uid="{00000000-0005-0000-0000-000010EB0000}"/>
    <cellStyle name="Обычный 7 2 2 2" xfId="60122" xr:uid="{00000000-0005-0000-0000-000011EB0000}"/>
    <cellStyle name="Обычный 7 2 3" xfId="60123" xr:uid="{00000000-0005-0000-0000-000012EB0000}"/>
    <cellStyle name="Обычный 7 3" xfId="60124" xr:uid="{00000000-0005-0000-0000-000013EB0000}"/>
    <cellStyle name="Обычный 7 4" xfId="60125" xr:uid="{00000000-0005-0000-0000-000014EB0000}"/>
    <cellStyle name="Обычный 7 5" xfId="60126" xr:uid="{00000000-0005-0000-0000-000015EB0000}"/>
    <cellStyle name="Обычный 70" xfId="60127" xr:uid="{00000000-0005-0000-0000-000016EB0000}"/>
    <cellStyle name="Обычный 71" xfId="60128" xr:uid="{00000000-0005-0000-0000-000017EB0000}"/>
    <cellStyle name="Обычный 72" xfId="60129" xr:uid="{00000000-0005-0000-0000-000018EB0000}"/>
    <cellStyle name="Обычный 73" xfId="60130" xr:uid="{00000000-0005-0000-0000-000019EB0000}"/>
    <cellStyle name="Обычный 74" xfId="60131" xr:uid="{00000000-0005-0000-0000-00001AEB0000}"/>
    <cellStyle name="Обычный 75" xfId="60132" xr:uid="{00000000-0005-0000-0000-00001BEB0000}"/>
    <cellStyle name="Обычный 76" xfId="60133" xr:uid="{00000000-0005-0000-0000-00001CEB0000}"/>
    <cellStyle name="Обычный 77" xfId="60134" xr:uid="{00000000-0005-0000-0000-00001DEB0000}"/>
    <cellStyle name="Обычный 78" xfId="60135" xr:uid="{00000000-0005-0000-0000-00001EEB0000}"/>
    <cellStyle name="Обычный 79" xfId="60136" xr:uid="{00000000-0005-0000-0000-00001FEB0000}"/>
    <cellStyle name="Обычный 79 2" xfId="60137" xr:uid="{00000000-0005-0000-0000-000020EB0000}"/>
    <cellStyle name="Обычный 8" xfId="60138" xr:uid="{00000000-0005-0000-0000-000021EB0000}"/>
    <cellStyle name="Обычный 8 2" xfId="60139" xr:uid="{00000000-0005-0000-0000-000022EB0000}"/>
    <cellStyle name="Обычный 8 2 2" xfId="60140" xr:uid="{00000000-0005-0000-0000-000023EB0000}"/>
    <cellStyle name="Обычный 8 2 2 2" xfId="60141" xr:uid="{00000000-0005-0000-0000-000024EB0000}"/>
    <cellStyle name="Обычный 8 2 3" xfId="60142" xr:uid="{00000000-0005-0000-0000-000025EB0000}"/>
    <cellStyle name="Обычный 8 3" xfId="60143" xr:uid="{00000000-0005-0000-0000-000026EB0000}"/>
    <cellStyle name="Обычный 8 4" xfId="60144" xr:uid="{00000000-0005-0000-0000-000027EB0000}"/>
    <cellStyle name="Обычный 8 5" xfId="60145" xr:uid="{00000000-0005-0000-0000-000028EB0000}"/>
    <cellStyle name="Обычный 80" xfId="60146" xr:uid="{00000000-0005-0000-0000-000029EB0000}"/>
    <cellStyle name="Обычный 81" xfId="60147" xr:uid="{00000000-0005-0000-0000-00002AEB0000}"/>
    <cellStyle name="Обычный 82" xfId="60148" xr:uid="{00000000-0005-0000-0000-00002BEB0000}"/>
    <cellStyle name="Обычный 83" xfId="60149" xr:uid="{00000000-0005-0000-0000-00002CEB0000}"/>
    <cellStyle name="Обычный 83 2" xfId="61307" xr:uid="{00000000-0005-0000-0000-00002DEB0000}"/>
    <cellStyle name="Обычный 83 3" xfId="61308" xr:uid="{00000000-0005-0000-0000-00002EEB0000}"/>
    <cellStyle name="Обычный 84" xfId="60150" xr:uid="{00000000-0005-0000-0000-00002FEB0000}"/>
    <cellStyle name="Обычный 84 10" xfId="60151" xr:uid="{00000000-0005-0000-0000-000030EB0000}"/>
    <cellStyle name="Обычный 84 11" xfId="60152" xr:uid="{00000000-0005-0000-0000-000031EB0000}"/>
    <cellStyle name="Обычный 84 12" xfId="60153" xr:uid="{00000000-0005-0000-0000-000032EB0000}"/>
    <cellStyle name="Обычный 84 12 2" xfId="60154" xr:uid="{00000000-0005-0000-0000-000033EB0000}"/>
    <cellStyle name="Обычный 84 13" xfId="60155" xr:uid="{00000000-0005-0000-0000-000034EB0000}"/>
    <cellStyle name="Обычный 84 14" xfId="60156" xr:uid="{00000000-0005-0000-0000-000035EB0000}"/>
    <cellStyle name="Обычный 84 15" xfId="60157" xr:uid="{00000000-0005-0000-0000-000036EB0000}"/>
    <cellStyle name="Обычный 84 16" xfId="60158" xr:uid="{00000000-0005-0000-0000-000037EB0000}"/>
    <cellStyle name="Обычный 84 16 2" xfId="60159" xr:uid="{00000000-0005-0000-0000-000038EB0000}"/>
    <cellStyle name="Обычный 84 17" xfId="60160" xr:uid="{00000000-0005-0000-0000-000039EB0000}"/>
    <cellStyle name="Обычный 84 18" xfId="61315" xr:uid="{00000000-0005-0000-0000-00003AEB0000}"/>
    <cellStyle name="Обычный 84 19" xfId="61326" xr:uid="{00000000-0005-0000-0000-00003BEB0000}"/>
    <cellStyle name="Обычный 84 2" xfId="60161" xr:uid="{00000000-0005-0000-0000-00003CEB0000}"/>
    <cellStyle name="Обычный 84 2 2" xfId="60162" xr:uid="{00000000-0005-0000-0000-00003DEB0000}"/>
    <cellStyle name="Обычный 84 2 3" xfId="61310" xr:uid="{00000000-0005-0000-0000-00003EEB0000}"/>
    <cellStyle name="Обычный 84 2 3 2" xfId="61361" xr:uid="{00000000-0005-0000-0000-00003FEB0000}"/>
    <cellStyle name="Обычный 84 20" xfId="61341" xr:uid="{00000000-0005-0000-0000-000040EB0000}"/>
    <cellStyle name="Обычный 84 21" xfId="61349" xr:uid="{00000000-0005-0000-0000-000041EB0000}"/>
    <cellStyle name="Обычный 84 3" xfId="60163" xr:uid="{00000000-0005-0000-0000-000042EB0000}"/>
    <cellStyle name="Обычный 84 4" xfId="60164" xr:uid="{00000000-0005-0000-0000-000043EB0000}"/>
    <cellStyle name="Обычный 84 5" xfId="60165" xr:uid="{00000000-0005-0000-0000-000044EB0000}"/>
    <cellStyle name="Обычный 84 6" xfId="60166" xr:uid="{00000000-0005-0000-0000-000045EB0000}"/>
    <cellStyle name="Обычный 84 7" xfId="60167" xr:uid="{00000000-0005-0000-0000-000046EB0000}"/>
    <cellStyle name="Обычный 84 8" xfId="60168" xr:uid="{00000000-0005-0000-0000-000047EB0000}"/>
    <cellStyle name="Обычный 84 9" xfId="60169" xr:uid="{00000000-0005-0000-0000-000048EB0000}"/>
    <cellStyle name="Обычный 85" xfId="60170" xr:uid="{00000000-0005-0000-0000-000049EB0000}"/>
    <cellStyle name="Обычный 85 2" xfId="60171" xr:uid="{00000000-0005-0000-0000-00004AEB0000}"/>
    <cellStyle name="Обычный 85 3" xfId="60172" xr:uid="{00000000-0005-0000-0000-00004BEB0000}"/>
    <cellStyle name="Обычный 85 3 2" xfId="60173" xr:uid="{00000000-0005-0000-0000-00004CEB0000}"/>
    <cellStyle name="Обычный 85 4" xfId="60174" xr:uid="{00000000-0005-0000-0000-00004DEB0000}"/>
    <cellStyle name="Обычный 85 4 2" xfId="60175" xr:uid="{00000000-0005-0000-0000-00004EEB0000}"/>
    <cellStyle name="Обычный 85 5" xfId="60176" xr:uid="{00000000-0005-0000-0000-00004FEB0000}"/>
    <cellStyle name="Обычный 85 6" xfId="61316" xr:uid="{00000000-0005-0000-0000-000050EB0000}"/>
    <cellStyle name="Обычный 85 7" xfId="61327" xr:uid="{00000000-0005-0000-0000-000051EB0000}"/>
    <cellStyle name="Обычный 85 8" xfId="61342" xr:uid="{00000000-0005-0000-0000-000052EB0000}"/>
    <cellStyle name="Обычный 85 9" xfId="61350" xr:uid="{00000000-0005-0000-0000-000053EB0000}"/>
    <cellStyle name="Обычный 86" xfId="60177" xr:uid="{00000000-0005-0000-0000-000054EB0000}"/>
    <cellStyle name="Обычный 87" xfId="60178" xr:uid="{00000000-0005-0000-0000-000055EB0000}"/>
    <cellStyle name="Обычный 88" xfId="60179" xr:uid="{00000000-0005-0000-0000-000056EB0000}"/>
    <cellStyle name="Обычный 89" xfId="60180" xr:uid="{00000000-0005-0000-0000-000057EB0000}"/>
    <cellStyle name="Обычный 89 2" xfId="60181" xr:uid="{00000000-0005-0000-0000-000058EB0000}"/>
    <cellStyle name="Обычный 9" xfId="60182" xr:uid="{00000000-0005-0000-0000-000059EB0000}"/>
    <cellStyle name="Обычный 9 2" xfId="60183" xr:uid="{00000000-0005-0000-0000-00005AEB0000}"/>
    <cellStyle name="Обычный 9 2 2" xfId="60184" xr:uid="{00000000-0005-0000-0000-00005BEB0000}"/>
    <cellStyle name="Обычный 9 2 2 2" xfId="60185" xr:uid="{00000000-0005-0000-0000-00005CEB0000}"/>
    <cellStyle name="Обычный 9 2 3" xfId="60186" xr:uid="{00000000-0005-0000-0000-00005DEB0000}"/>
    <cellStyle name="Обычный 9 3" xfId="60187" xr:uid="{00000000-0005-0000-0000-00005EEB0000}"/>
    <cellStyle name="Обычный 9 4" xfId="60188" xr:uid="{00000000-0005-0000-0000-00005FEB0000}"/>
    <cellStyle name="Обычный 9 5" xfId="60189" xr:uid="{00000000-0005-0000-0000-000060EB0000}"/>
    <cellStyle name="Обычный 90" xfId="60190" xr:uid="{00000000-0005-0000-0000-000061EB0000}"/>
    <cellStyle name="Обычный 91" xfId="60191" xr:uid="{00000000-0005-0000-0000-000062EB0000}"/>
    <cellStyle name="Обычный 92" xfId="60192" xr:uid="{00000000-0005-0000-0000-000063EB0000}"/>
    <cellStyle name="Обычный 93" xfId="60193" xr:uid="{00000000-0005-0000-0000-000064EB0000}"/>
    <cellStyle name="Обычный 94" xfId="60194" xr:uid="{00000000-0005-0000-0000-000065EB0000}"/>
    <cellStyle name="Обычный 95" xfId="60195" xr:uid="{00000000-0005-0000-0000-000066EB0000}"/>
    <cellStyle name="Обычный 96" xfId="60196" xr:uid="{00000000-0005-0000-0000-000067EB0000}"/>
    <cellStyle name="Обычный 97" xfId="60197" xr:uid="{00000000-0005-0000-0000-000068EB0000}"/>
    <cellStyle name="Обычный 98" xfId="60198" xr:uid="{00000000-0005-0000-0000-000069EB0000}"/>
    <cellStyle name="Обычный 99" xfId="60199" xr:uid="{00000000-0005-0000-0000-00006AEB0000}"/>
    <cellStyle name="Обычный_17.04.2007 Свод(общий)" xfId="61319" xr:uid="{00000000-0005-0000-0000-00006BEB0000}"/>
    <cellStyle name="Плохой 10" xfId="60200" xr:uid="{00000000-0005-0000-0000-00006CEB0000}"/>
    <cellStyle name="Плохой 100" xfId="60201" xr:uid="{00000000-0005-0000-0000-00006DEB0000}"/>
    <cellStyle name="Плохой 101" xfId="60202" xr:uid="{00000000-0005-0000-0000-00006EEB0000}"/>
    <cellStyle name="Плохой 102" xfId="60203" xr:uid="{00000000-0005-0000-0000-00006FEB0000}"/>
    <cellStyle name="Плохой 103" xfId="60204" xr:uid="{00000000-0005-0000-0000-000070EB0000}"/>
    <cellStyle name="Плохой 104" xfId="60205" xr:uid="{00000000-0005-0000-0000-000071EB0000}"/>
    <cellStyle name="Плохой 105" xfId="60206" xr:uid="{00000000-0005-0000-0000-000072EB0000}"/>
    <cellStyle name="Плохой 106" xfId="60207" xr:uid="{00000000-0005-0000-0000-000073EB0000}"/>
    <cellStyle name="Плохой 107" xfId="60208" xr:uid="{00000000-0005-0000-0000-000074EB0000}"/>
    <cellStyle name="Плохой 108" xfId="60209" xr:uid="{00000000-0005-0000-0000-000075EB0000}"/>
    <cellStyle name="Плохой 109" xfId="60210" xr:uid="{00000000-0005-0000-0000-000076EB0000}"/>
    <cellStyle name="Плохой 11" xfId="60211" xr:uid="{00000000-0005-0000-0000-000077EB0000}"/>
    <cellStyle name="Плохой 110" xfId="60212" xr:uid="{00000000-0005-0000-0000-000078EB0000}"/>
    <cellStyle name="Плохой 111" xfId="60213" xr:uid="{00000000-0005-0000-0000-000079EB0000}"/>
    <cellStyle name="Плохой 112" xfId="60214" xr:uid="{00000000-0005-0000-0000-00007AEB0000}"/>
    <cellStyle name="Плохой 113" xfId="60215" xr:uid="{00000000-0005-0000-0000-00007BEB0000}"/>
    <cellStyle name="Плохой 114" xfId="60216" xr:uid="{00000000-0005-0000-0000-00007CEB0000}"/>
    <cellStyle name="Плохой 115" xfId="60217" xr:uid="{00000000-0005-0000-0000-00007DEB0000}"/>
    <cellStyle name="Плохой 116" xfId="60218" xr:uid="{00000000-0005-0000-0000-00007EEB0000}"/>
    <cellStyle name="Плохой 117" xfId="60219" xr:uid="{00000000-0005-0000-0000-00007FEB0000}"/>
    <cellStyle name="Плохой 118" xfId="60220" xr:uid="{00000000-0005-0000-0000-000080EB0000}"/>
    <cellStyle name="Плохой 119" xfId="60221" xr:uid="{00000000-0005-0000-0000-000081EB0000}"/>
    <cellStyle name="Плохой 12" xfId="60222" xr:uid="{00000000-0005-0000-0000-000082EB0000}"/>
    <cellStyle name="Плохой 120" xfId="60223" xr:uid="{00000000-0005-0000-0000-000083EB0000}"/>
    <cellStyle name="Плохой 121" xfId="60224" xr:uid="{00000000-0005-0000-0000-000084EB0000}"/>
    <cellStyle name="Плохой 122" xfId="60225" xr:uid="{00000000-0005-0000-0000-000085EB0000}"/>
    <cellStyle name="Плохой 123" xfId="60226" xr:uid="{00000000-0005-0000-0000-000086EB0000}"/>
    <cellStyle name="Плохой 124" xfId="60227" xr:uid="{00000000-0005-0000-0000-000087EB0000}"/>
    <cellStyle name="Плохой 125" xfId="60228" xr:uid="{00000000-0005-0000-0000-000088EB0000}"/>
    <cellStyle name="Плохой 126" xfId="60229" xr:uid="{00000000-0005-0000-0000-000089EB0000}"/>
    <cellStyle name="Плохой 127" xfId="60230" xr:uid="{00000000-0005-0000-0000-00008AEB0000}"/>
    <cellStyle name="Плохой 128" xfId="60231" xr:uid="{00000000-0005-0000-0000-00008BEB0000}"/>
    <cellStyle name="Плохой 129" xfId="60232" xr:uid="{00000000-0005-0000-0000-00008CEB0000}"/>
    <cellStyle name="Плохой 13" xfId="60233" xr:uid="{00000000-0005-0000-0000-00008DEB0000}"/>
    <cellStyle name="Плохой 130" xfId="60234" xr:uid="{00000000-0005-0000-0000-00008EEB0000}"/>
    <cellStyle name="Плохой 131" xfId="60235" xr:uid="{00000000-0005-0000-0000-00008FEB0000}"/>
    <cellStyle name="Плохой 132" xfId="60236" xr:uid="{00000000-0005-0000-0000-000090EB0000}"/>
    <cellStyle name="Плохой 133" xfId="60237" xr:uid="{00000000-0005-0000-0000-000091EB0000}"/>
    <cellStyle name="Плохой 134" xfId="60238" xr:uid="{00000000-0005-0000-0000-000092EB0000}"/>
    <cellStyle name="Плохой 135" xfId="60239" xr:uid="{00000000-0005-0000-0000-000093EB0000}"/>
    <cellStyle name="Плохой 136" xfId="60240" xr:uid="{00000000-0005-0000-0000-000094EB0000}"/>
    <cellStyle name="Плохой 137" xfId="60241" xr:uid="{00000000-0005-0000-0000-000095EB0000}"/>
    <cellStyle name="Плохой 138" xfId="60242" xr:uid="{00000000-0005-0000-0000-000096EB0000}"/>
    <cellStyle name="Плохой 139" xfId="60243" xr:uid="{00000000-0005-0000-0000-000097EB0000}"/>
    <cellStyle name="Плохой 14" xfId="60244" xr:uid="{00000000-0005-0000-0000-000098EB0000}"/>
    <cellStyle name="Плохой 140" xfId="60245" xr:uid="{00000000-0005-0000-0000-000099EB0000}"/>
    <cellStyle name="Плохой 141" xfId="60246" xr:uid="{00000000-0005-0000-0000-00009AEB0000}"/>
    <cellStyle name="Плохой 142" xfId="60247" xr:uid="{00000000-0005-0000-0000-00009BEB0000}"/>
    <cellStyle name="Плохой 143" xfId="60248" xr:uid="{00000000-0005-0000-0000-00009CEB0000}"/>
    <cellStyle name="Плохой 144" xfId="60249" xr:uid="{00000000-0005-0000-0000-00009DEB0000}"/>
    <cellStyle name="Плохой 145" xfId="60250" xr:uid="{00000000-0005-0000-0000-00009EEB0000}"/>
    <cellStyle name="Плохой 146" xfId="60251" xr:uid="{00000000-0005-0000-0000-00009FEB0000}"/>
    <cellStyle name="Плохой 147" xfId="60252" xr:uid="{00000000-0005-0000-0000-0000A0EB0000}"/>
    <cellStyle name="Плохой 148" xfId="60253" xr:uid="{00000000-0005-0000-0000-0000A1EB0000}"/>
    <cellStyle name="Плохой 149" xfId="60254" xr:uid="{00000000-0005-0000-0000-0000A2EB0000}"/>
    <cellStyle name="Плохой 15" xfId="60255" xr:uid="{00000000-0005-0000-0000-0000A3EB0000}"/>
    <cellStyle name="Плохой 150" xfId="60256" xr:uid="{00000000-0005-0000-0000-0000A4EB0000}"/>
    <cellStyle name="Плохой 151" xfId="60257" xr:uid="{00000000-0005-0000-0000-0000A5EB0000}"/>
    <cellStyle name="Плохой 152" xfId="60258" xr:uid="{00000000-0005-0000-0000-0000A6EB0000}"/>
    <cellStyle name="Плохой 153" xfId="60259" xr:uid="{00000000-0005-0000-0000-0000A7EB0000}"/>
    <cellStyle name="Плохой 16" xfId="60260" xr:uid="{00000000-0005-0000-0000-0000A8EB0000}"/>
    <cellStyle name="Плохой 17" xfId="60261" xr:uid="{00000000-0005-0000-0000-0000A9EB0000}"/>
    <cellStyle name="Плохой 18" xfId="60262" xr:uid="{00000000-0005-0000-0000-0000AAEB0000}"/>
    <cellStyle name="Плохой 19" xfId="60263" xr:uid="{00000000-0005-0000-0000-0000ABEB0000}"/>
    <cellStyle name="Плохой 2" xfId="60264" xr:uid="{00000000-0005-0000-0000-0000ACEB0000}"/>
    <cellStyle name="Плохой 2 2" xfId="60265" xr:uid="{00000000-0005-0000-0000-0000ADEB0000}"/>
    <cellStyle name="Плохой 2 2 10" xfId="60266" xr:uid="{00000000-0005-0000-0000-0000AEEB0000}"/>
    <cellStyle name="Плохой 2 2 11" xfId="60267" xr:uid="{00000000-0005-0000-0000-0000AFEB0000}"/>
    <cellStyle name="Плохой 2 2 12" xfId="60268" xr:uid="{00000000-0005-0000-0000-0000B0EB0000}"/>
    <cellStyle name="Плохой 2 2 13" xfId="60269" xr:uid="{00000000-0005-0000-0000-0000B1EB0000}"/>
    <cellStyle name="Плохой 2 2 2" xfId="60270" xr:uid="{00000000-0005-0000-0000-0000B2EB0000}"/>
    <cellStyle name="Плохой 2 2 3" xfId="60271" xr:uid="{00000000-0005-0000-0000-0000B3EB0000}"/>
    <cellStyle name="Плохой 2 2 4" xfId="60272" xr:uid="{00000000-0005-0000-0000-0000B4EB0000}"/>
    <cellStyle name="Плохой 2 2 5" xfId="60273" xr:uid="{00000000-0005-0000-0000-0000B5EB0000}"/>
    <cellStyle name="Плохой 2 2 6" xfId="60274" xr:uid="{00000000-0005-0000-0000-0000B6EB0000}"/>
    <cellStyle name="Плохой 2 2 7" xfId="60275" xr:uid="{00000000-0005-0000-0000-0000B7EB0000}"/>
    <cellStyle name="Плохой 2 2 8" xfId="60276" xr:uid="{00000000-0005-0000-0000-0000B8EB0000}"/>
    <cellStyle name="Плохой 2 2 9" xfId="60277" xr:uid="{00000000-0005-0000-0000-0000B9EB0000}"/>
    <cellStyle name="Плохой 2 3" xfId="60278" xr:uid="{00000000-0005-0000-0000-0000BAEB0000}"/>
    <cellStyle name="Плохой 20" xfId="60279" xr:uid="{00000000-0005-0000-0000-0000BBEB0000}"/>
    <cellStyle name="Плохой 21" xfId="60280" xr:uid="{00000000-0005-0000-0000-0000BCEB0000}"/>
    <cellStyle name="Плохой 22" xfId="60281" xr:uid="{00000000-0005-0000-0000-0000BDEB0000}"/>
    <cellStyle name="Плохой 23" xfId="60282" xr:uid="{00000000-0005-0000-0000-0000BEEB0000}"/>
    <cellStyle name="Плохой 24" xfId="60283" xr:uid="{00000000-0005-0000-0000-0000BFEB0000}"/>
    <cellStyle name="Плохой 25" xfId="60284" xr:uid="{00000000-0005-0000-0000-0000C0EB0000}"/>
    <cellStyle name="Плохой 26" xfId="60285" xr:uid="{00000000-0005-0000-0000-0000C1EB0000}"/>
    <cellStyle name="Плохой 27" xfId="60286" xr:uid="{00000000-0005-0000-0000-0000C2EB0000}"/>
    <cellStyle name="Плохой 28" xfId="60287" xr:uid="{00000000-0005-0000-0000-0000C3EB0000}"/>
    <cellStyle name="Плохой 29" xfId="60288" xr:uid="{00000000-0005-0000-0000-0000C4EB0000}"/>
    <cellStyle name="Плохой 3" xfId="60289" xr:uid="{00000000-0005-0000-0000-0000C5EB0000}"/>
    <cellStyle name="Плохой 30" xfId="60290" xr:uid="{00000000-0005-0000-0000-0000C6EB0000}"/>
    <cellStyle name="Плохой 31" xfId="60291" xr:uid="{00000000-0005-0000-0000-0000C7EB0000}"/>
    <cellStyle name="Плохой 32" xfId="60292" xr:uid="{00000000-0005-0000-0000-0000C8EB0000}"/>
    <cellStyle name="Плохой 33" xfId="60293" xr:uid="{00000000-0005-0000-0000-0000C9EB0000}"/>
    <cellStyle name="Плохой 34" xfId="60294" xr:uid="{00000000-0005-0000-0000-0000CAEB0000}"/>
    <cellStyle name="Плохой 35" xfId="60295" xr:uid="{00000000-0005-0000-0000-0000CBEB0000}"/>
    <cellStyle name="Плохой 36" xfId="60296" xr:uid="{00000000-0005-0000-0000-0000CCEB0000}"/>
    <cellStyle name="Плохой 37" xfId="60297" xr:uid="{00000000-0005-0000-0000-0000CDEB0000}"/>
    <cellStyle name="Плохой 38" xfId="60298" xr:uid="{00000000-0005-0000-0000-0000CEEB0000}"/>
    <cellStyle name="Плохой 39" xfId="60299" xr:uid="{00000000-0005-0000-0000-0000CFEB0000}"/>
    <cellStyle name="Плохой 4" xfId="60300" xr:uid="{00000000-0005-0000-0000-0000D0EB0000}"/>
    <cellStyle name="Плохой 40" xfId="60301" xr:uid="{00000000-0005-0000-0000-0000D1EB0000}"/>
    <cellStyle name="Плохой 41" xfId="60302" xr:uid="{00000000-0005-0000-0000-0000D2EB0000}"/>
    <cellStyle name="Плохой 42" xfId="60303" xr:uid="{00000000-0005-0000-0000-0000D3EB0000}"/>
    <cellStyle name="Плохой 43" xfId="60304" xr:uid="{00000000-0005-0000-0000-0000D4EB0000}"/>
    <cellStyle name="Плохой 44" xfId="60305" xr:uid="{00000000-0005-0000-0000-0000D5EB0000}"/>
    <cellStyle name="Плохой 45" xfId="60306" xr:uid="{00000000-0005-0000-0000-0000D6EB0000}"/>
    <cellStyle name="Плохой 46" xfId="60307" xr:uid="{00000000-0005-0000-0000-0000D7EB0000}"/>
    <cellStyle name="Плохой 47" xfId="60308" xr:uid="{00000000-0005-0000-0000-0000D8EB0000}"/>
    <cellStyle name="Плохой 48" xfId="60309" xr:uid="{00000000-0005-0000-0000-0000D9EB0000}"/>
    <cellStyle name="Плохой 49" xfId="60310" xr:uid="{00000000-0005-0000-0000-0000DAEB0000}"/>
    <cellStyle name="Плохой 5" xfId="60311" xr:uid="{00000000-0005-0000-0000-0000DBEB0000}"/>
    <cellStyle name="Плохой 50" xfId="60312" xr:uid="{00000000-0005-0000-0000-0000DCEB0000}"/>
    <cellStyle name="Плохой 51" xfId="60313" xr:uid="{00000000-0005-0000-0000-0000DDEB0000}"/>
    <cellStyle name="Плохой 52" xfId="60314" xr:uid="{00000000-0005-0000-0000-0000DEEB0000}"/>
    <cellStyle name="Плохой 53" xfId="60315" xr:uid="{00000000-0005-0000-0000-0000DFEB0000}"/>
    <cellStyle name="Плохой 54" xfId="60316" xr:uid="{00000000-0005-0000-0000-0000E0EB0000}"/>
    <cellStyle name="Плохой 55" xfId="60317" xr:uid="{00000000-0005-0000-0000-0000E1EB0000}"/>
    <cellStyle name="Плохой 56" xfId="60318" xr:uid="{00000000-0005-0000-0000-0000E2EB0000}"/>
    <cellStyle name="Плохой 57" xfId="60319" xr:uid="{00000000-0005-0000-0000-0000E3EB0000}"/>
    <cellStyle name="Плохой 58" xfId="60320" xr:uid="{00000000-0005-0000-0000-0000E4EB0000}"/>
    <cellStyle name="Плохой 59" xfId="60321" xr:uid="{00000000-0005-0000-0000-0000E5EB0000}"/>
    <cellStyle name="Плохой 6" xfId="60322" xr:uid="{00000000-0005-0000-0000-0000E6EB0000}"/>
    <cellStyle name="Плохой 60" xfId="60323" xr:uid="{00000000-0005-0000-0000-0000E7EB0000}"/>
    <cellStyle name="Плохой 61" xfId="60324" xr:uid="{00000000-0005-0000-0000-0000E8EB0000}"/>
    <cellStyle name="Плохой 62" xfId="60325" xr:uid="{00000000-0005-0000-0000-0000E9EB0000}"/>
    <cellStyle name="Плохой 63" xfId="60326" xr:uid="{00000000-0005-0000-0000-0000EAEB0000}"/>
    <cellStyle name="Плохой 64" xfId="60327" xr:uid="{00000000-0005-0000-0000-0000EBEB0000}"/>
    <cellStyle name="Плохой 65" xfId="60328" xr:uid="{00000000-0005-0000-0000-0000ECEB0000}"/>
    <cellStyle name="Плохой 66" xfId="60329" xr:uid="{00000000-0005-0000-0000-0000EDEB0000}"/>
    <cellStyle name="Плохой 67" xfId="60330" xr:uid="{00000000-0005-0000-0000-0000EEEB0000}"/>
    <cellStyle name="Плохой 68" xfId="60331" xr:uid="{00000000-0005-0000-0000-0000EFEB0000}"/>
    <cellStyle name="Плохой 69" xfId="60332" xr:uid="{00000000-0005-0000-0000-0000F0EB0000}"/>
    <cellStyle name="Плохой 7" xfId="60333" xr:uid="{00000000-0005-0000-0000-0000F1EB0000}"/>
    <cellStyle name="Плохой 70" xfId="60334" xr:uid="{00000000-0005-0000-0000-0000F2EB0000}"/>
    <cellStyle name="Плохой 71" xfId="60335" xr:uid="{00000000-0005-0000-0000-0000F3EB0000}"/>
    <cellStyle name="Плохой 72" xfId="60336" xr:uid="{00000000-0005-0000-0000-0000F4EB0000}"/>
    <cellStyle name="Плохой 73" xfId="60337" xr:uid="{00000000-0005-0000-0000-0000F5EB0000}"/>
    <cellStyle name="Плохой 74" xfId="60338" xr:uid="{00000000-0005-0000-0000-0000F6EB0000}"/>
    <cellStyle name="Плохой 75" xfId="60339" xr:uid="{00000000-0005-0000-0000-0000F7EB0000}"/>
    <cellStyle name="Плохой 76" xfId="60340" xr:uid="{00000000-0005-0000-0000-0000F8EB0000}"/>
    <cellStyle name="Плохой 77" xfId="60341" xr:uid="{00000000-0005-0000-0000-0000F9EB0000}"/>
    <cellStyle name="Плохой 78" xfId="60342" xr:uid="{00000000-0005-0000-0000-0000FAEB0000}"/>
    <cellStyle name="Плохой 79" xfId="60343" xr:uid="{00000000-0005-0000-0000-0000FBEB0000}"/>
    <cellStyle name="Плохой 8" xfId="60344" xr:uid="{00000000-0005-0000-0000-0000FCEB0000}"/>
    <cellStyle name="Плохой 80" xfId="60345" xr:uid="{00000000-0005-0000-0000-0000FDEB0000}"/>
    <cellStyle name="Плохой 81" xfId="60346" xr:uid="{00000000-0005-0000-0000-0000FEEB0000}"/>
    <cellStyle name="Плохой 82" xfId="60347" xr:uid="{00000000-0005-0000-0000-0000FFEB0000}"/>
    <cellStyle name="Плохой 83" xfId="60348" xr:uid="{00000000-0005-0000-0000-000000EC0000}"/>
    <cellStyle name="Плохой 84" xfId="60349" xr:uid="{00000000-0005-0000-0000-000001EC0000}"/>
    <cellStyle name="Плохой 85" xfId="60350" xr:uid="{00000000-0005-0000-0000-000002EC0000}"/>
    <cellStyle name="Плохой 86" xfId="60351" xr:uid="{00000000-0005-0000-0000-000003EC0000}"/>
    <cellStyle name="Плохой 87" xfId="60352" xr:uid="{00000000-0005-0000-0000-000004EC0000}"/>
    <cellStyle name="Плохой 88" xfId="60353" xr:uid="{00000000-0005-0000-0000-000005EC0000}"/>
    <cellStyle name="Плохой 89" xfId="60354" xr:uid="{00000000-0005-0000-0000-000006EC0000}"/>
    <cellStyle name="Плохой 9" xfId="60355" xr:uid="{00000000-0005-0000-0000-000007EC0000}"/>
    <cellStyle name="Плохой 90" xfId="60356" xr:uid="{00000000-0005-0000-0000-000008EC0000}"/>
    <cellStyle name="Плохой 91" xfId="60357" xr:uid="{00000000-0005-0000-0000-000009EC0000}"/>
    <cellStyle name="Плохой 92" xfId="60358" xr:uid="{00000000-0005-0000-0000-00000AEC0000}"/>
    <cellStyle name="Плохой 93" xfId="60359" xr:uid="{00000000-0005-0000-0000-00000BEC0000}"/>
    <cellStyle name="Плохой 94" xfId="60360" xr:uid="{00000000-0005-0000-0000-00000CEC0000}"/>
    <cellStyle name="Плохой 95" xfId="60361" xr:uid="{00000000-0005-0000-0000-00000DEC0000}"/>
    <cellStyle name="Плохой 96" xfId="60362" xr:uid="{00000000-0005-0000-0000-00000EEC0000}"/>
    <cellStyle name="Плохой 97" xfId="60363" xr:uid="{00000000-0005-0000-0000-00000FEC0000}"/>
    <cellStyle name="Плохой 98" xfId="60364" xr:uid="{00000000-0005-0000-0000-000010EC0000}"/>
    <cellStyle name="Плохой 99" xfId="60365" xr:uid="{00000000-0005-0000-0000-000011EC0000}"/>
    <cellStyle name="Пояснение 10" xfId="60366" xr:uid="{00000000-0005-0000-0000-000012EC0000}"/>
    <cellStyle name="Пояснение 100" xfId="60367" xr:uid="{00000000-0005-0000-0000-000013EC0000}"/>
    <cellStyle name="Пояснение 101" xfId="60368" xr:uid="{00000000-0005-0000-0000-000014EC0000}"/>
    <cellStyle name="Пояснение 102" xfId="60369" xr:uid="{00000000-0005-0000-0000-000015EC0000}"/>
    <cellStyle name="Пояснение 103" xfId="60370" xr:uid="{00000000-0005-0000-0000-000016EC0000}"/>
    <cellStyle name="Пояснение 104" xfId="60371" xr:uid="{00000000-0005-0000-0000-000017EC0000}"/>
    <cellStyle name="Пояснение 105" xfId="60372" xr:uid="{00000000-0005-0000-0000-000018EC0000}"/>
    <cellStyle name="Пояснение 106" xfId="60373" xr:uid="{00000000-0005-0000-0000-000019EC0000}"/>
    <cellStyle name="Пояснение 107" xfId="60374" xr:uid="{00000000-0005-0000-0000-00001AEC0000}"/>
    <cellStyle name="Пояснение 108" xfId="60375" xr:uid="{00000000-0005-0000-0000-00001BEC0000}"/>
    <cellStyle name="Пояснение 109" xfId="60376" xr:uid="{00000000-0005-0000-0000-00001CEC0000}"/>
    <cellStyle name="Пояснение 11" xfId="60377" xr:uid="{00000000-0005-0000-0000-00001DEC0000}"/>
    <cellStyle name="Пояснение 110" xfId="60378" xr:uid="{00000000-0005-0000-0000-00001EEC0000}"/>
    <cellStyle name="Пояснение 111" xfId="60379" xr:uid="{00000000-0005-0000-0000-00001FEC0000}"/>
    <cellStyle name="Пояснение 112" xfId="60380" xr:uid="{00000000-0005-0000-0000-000020EC0000}"/>
    <cellStyle name="Пояснение 113" xfId="60381" xr:uid="{00000000-0005-0000-0000-000021EC0000}"/>
    <cellStyle name="Пояснение 114" xfId="60382" xr:uid="{00000000-0005-0000-0000-000022EC0000}"/>
    <cellStyle name="Пояснение 115" xfId="60383" xr:uid="{00000000-0005-0000-0000-000023EC0000}"/>
    <cellStyle name="Пояснение 116" xfId="60384" xr:uid="{00000000-0005-0000-0000-000024EC0000}"/>
    <cellStyle name="Пояснение 117" xfId="60385" xr:uid="{00000000-0005-0000-0000-000025EC0000}"/>
    <cellStyle name="Пояснение 118" xfId="60386" xr:uid="{00000000-0005-0000-0000-000026EC0000}"/>
    <cellStyle name="Пояснение 119" xfId="60387" xr:uid="{00000000-0005-0000-0000-000027EC0000}"/>
    <cellStyle name="Пояснение 12" xfId="60388" xr:uid="{00000000-0005-0000-0000-000028EC0000}"/>
    <cellStyle name="Пояснение 120" xfId="60389" xr:uid="{00000000-0005-0000-0000-000029EC0000}"/>
    <cellStyle name="Пояснение 121" xfId="60390" xr:uid="{00000000-0005-0000-0000-00002AEC0000}"/>
    <cellStyle name="Пояснение 122" xfId="60391" xr:uid="{00000000-0005-0000-0000-00002BEC0000}"/>
    <cellStyle name="Пояснение 123" xfId="60392" xr:uid="{00000000-0005-0000-0000-00002CEC0000}"/>
    <cellStyle name="Пояснение 124" xfId="60393" xr:uid="{00000000-0005-0000-0000-00002DEC0000}"/>
    <cellStyle name="Пояснение 125" xfId="60394" xr:uid="{00000000-0005-0000-0000-00002EEC0000}"/>
    <cellStyle name="Пояснение 126" xfId="60395" xr:uid="{00000000-0005-0000-0000-00002FEC0000}"/>
    <cellStyle name="Пояснение 127" xfId="60396" xr:uid="{00000000-0005-0000-0000-000030EC0000}"/>
    <cellStyle name="Пояснение 128" xfId="60397" xr:uid="{00000000-0005-0000-0000-000031EC0000}"/>
    <cellStyle name="Пояснение 129" xfId="60398" xr:uid="{00000000-0005-0000-0000-000032EC0000}"/>
    <cellStyle name="Пояснение 13" xfId="60399" xr:uid="{00000000-0005-0000-0000-000033EC0000}"/>
    <cellStyle name="Пояснение 130" xfId="60400" xr:uid="{00000000-0005-0000-0000-000034EC0000}"/>
    <cellStyle name="Пояснение 131" xfId="60401" xr:uid="{00000000-0005-0000-0000-000035EC0000}"/>
    <cellStyle name="Пояснение 132" xfId="60402" xr:uid="{00000000-0005-0000-0000-000036EC0000}"/>
    <cellStyle name="Пояснение 133" xfId="60403" xr:uid="{00000000-0005-0000-0000-000037EC0000}"/>
    <cellStyle name="Пояснение 134" xfId="60404" xr:uid="{00000000-0005-0000-0000-000038EC0000}"/>
    <cellStyle name="Пояснение 135" xfId="60405" xr:uid="{00000000-0005-0000-0000-000039EC0000}"/>
    <cellStyle name="Пояснение 136" xfId="60406" xr:uid="{00000000-0005-0000-0000-00003AEC0000}"/>
    <cellStyle name="Пояснение 137" xfId="60407" xr:uid="{00000000-0005-0000-0000-00003BEC0000}"/>
    <cellStyle name="Пояснение 138" xfId="60408" xr:uid="{00000000-0005-0000-0000-00003CEC0000}"/>
    <cellStyle name="Пояснение 139" xfId="60409" xr:uid="{00000000-0005-0000-0000-00003DEC0000}"/>
    <cellStyle name="Пояснение 14" xfId="60410" xr:uid="{00000000-0005-0000-0000-00003EEC0000}"/>
    <cellStyle name="Пояснение 140" xfId="60411" xr:uid="{00000000-0005-0000-0000-00003FEC0000}"/>
    <cellStyle name="Пояснение 141" xfId="60412" xr:uid="{00000000-0005-0000-0000-000040EC0000}"/>
    <cellStyle name="Пояснение 142" xfId="60413" xr:uid="{00000000-0005-0000-0000-000041EC0000}"/>
    <cellStyle name="Пояснение 143" xfId="60414" xr:uid="{00000000-0005-0000-0000-000042EC0000}"/>
    <cellStyle name="Пояснение 144" xfId="60415" xr:uid="{00000000-0005-0000-0000-000043EC0000}"/>
    <cellStyle name="Пояснение 145" xfId="60416" xr:uid="{00000000-0005-0000-0000-000044EC0000}"/>
    <cellStyle name="Пояснение 146" xfId="60417" xr:uid="{00000000-0005-0000-0000-000045EC0000}"/>
    <cellStyle name="Пояснение 147" xfId="60418" xr:uid="{00000000-0005-0000-0000-000046EC0000}"/>
    <cellStyle name="Пояснение 148" xfId="60419" xr:uid="{00000000-0005-0000-0000-000047EC0000}"/>
    <cellStyle name="Пояснение 149" xfId="60420" xr:uid="{00000000-0005-0000-0000-000048EC0000}"/>
    <cellStyle name="Пояснение 15" xfId="60421" xr:uid="{00000000-0005-0000-0000-000049EC0000}"/>
    <cellStyle name="Пояснение 150" xfId="60422" xr:uid="{00000000-0005-0000-0000-00004AEC0000}"/>
    <cellStyle name="Пояснение 151" xfId="60423" xr:uid="{00000000-0005-0000-0000-00004BEC0000}"/>
    <cellStyle name="Пояснение 152" xfId="60424" xr:uid="{00000000-0005-0000-0000-00004CEC0000}"/>
    <cellStyle name="Пояснение 153" xfId="60425" xr:uid="{00000000-0005-0000-0000-00004DEC0000}"/>
    <cellStyle name="Пояснение 16" xfId="60426" xr:uid="{00000000-0005-0000-0000-00004EEC0000}"/>
    <cellStyle name="Пояснение 17" xfId="60427" xr:uid="{00000000-0005-0000-0000-00004FEC0000}"/>
    <cellStyle name="Пояснение 18" xfId="60428" xr:uid="{00000000-0005-0000-0000-000050EC0000}"/>
    <cellStyle name="Пояснение 19" xfId="60429" xr:uid="{00000000-0005-0000-0000-000051EC0000}"/>
    <cellStyle name="Пояснение 2" xfId="60430" xr:uid="{00000000-0005-0000-0000-000052EC0000}"/>
    <cellStyle name="Пояснение 2 2" xfId="60431" xr:uid="{00000000-0005-0000-0000-000053EC0000}"/>
    <cellStyle name="Пояснение 2 2 10" xfId="60432" xr:uid="{00000000-0005-0000-0000-000054EC0000}"/>
    <cellStyle name="Пояснение 2 2 11" xfId="60433" xr:uid="{00000000-0005-0000-0000-000055EC0000}"/>
    <cellStyle name="Пояснение 2 2 12" xfId="60434" xr:uid="{00000000-0005-0000-0000-000056EC0000}"/>
    <cellStyle name="Пояснение 2 2 13" xfId="60435" xr:uid="{00000000-0005-0000-0000-000057EC0000}"/>
    <cellStyle name="Пояснение 2 2 2" xfId="60436" xr:uid="{00000000-0005-0000-0000-000058EC0000}"/>
    <cellStyle name="Пояснение 2 2 3" xfId="60437" xr:uid="{00000000-0005-0000-0000-000059EC0000}"/>
    <cellStyle name="Пояснение 2 2 4" xfId="60438" xr:uid="{00000000-0005-0000-0000-00005AEC0000}"/>
    <cellStyle name="Пояснение 2 2 5" xfId="60439" xr:uid="{00000000-0005-0000-0000-00005BEC0000}"/>
    <cellStyle name="Пояснение 2 2 6" xfId="60440" xr:uid="{00000000-0005-0000-0000-00005CEC0000}"/>
    <cellStyle name="Пояснение 2 2 7" xfId="60441" xr:uid="{00000000-0005-0000-0000-00005DEC0000}"/>
    <cellStyle name="Пояснение 2 2 8" xfId="60442" xr:uid="{00000000-0005-0000-0000-00005EEC0000}"/>
    <cellStyle name="Пояснение 2 2 9" xfId="60443" xr:uid="{00000000-0005-0000-0000-00005FEC0000}"/>
    <cellStyle name="Пояснение 2 3" xfId="60444" xr:uid="{00000000-0005-0000-0000-000060EC0000}"/>
    <cellStyle name="Пояснение 20" xfId="60445" xr:uid="{00000000-0005-0000-0000-000061EC0000}"/>
    <cellStyle name="Пояснение 21" xfId="60446" xr:uid="{00000000-0005-0000-0000-000062EC0000}"/>
    <cellStyle name="Пояснение 22" xfId="60447" xr:uid="{00000000-0005-0000-0000-000063EC0000}"/>
    <cellStyle name="Пояснение 23" xfId="60448" xr:uid="{00000000-0005-0000-0000-000064EC0000}"/>
    <cellStyle name="Пояснение 24" xfId="60449" xr:uid="{00000000-0005-0000-0000-000065EC0000}"/>
    <cellStyle name="Пояснение 25" xfId="60450" xr:uid="{00000000-0005-0000-0000-000066EC0000}"/>
    <cellStyle name="Пояснение 26" xfId="60451" xr:uid="{00000000-0005-0000-0000-000067EC0000}"/>
    <cellStyle name="Пояснение 27" xfId="60452" xr:uid="{00000000-0005-0000-0000-000068EC0000}"/>
    <cellStyle name="Пояснение 28" xfId="60453" xr:uid="{00000000-0005-0000-0000-000069EC0000}"/>
    <cellStyle name="Пояснение 29" xfId="60454" xr:uid="{00000000-0005-0000-0000-00006AEC0000}"/>
    <cellStyle name="Пояснение 3" xfId="60455" xr:uid="{00000000-0005-0000-0000-00006BEC0000}"/>
    <cellStyle name="Пояснение 30" xfId="60456" xr:uid="{00000000-0005-0000-0000-00006CEC0000}"/>
    <cellStyle name="Пояснение 31" xfId="60457" xr:uid="{00000000-0005-0000-0000-00006DEC0000}"/>
    <cellStyle name="Пояснение 32" xfId="60458" xr:uid="{00000000-0005-0000-0000-00006EEC0000}"/>
    <cellStyle name="Пояснение 33" xfId="60459" xr:uid="{00000000-0005-0000-0000-00006FEC0000}"/>
    <cellStyle name="Пояснение 34" xfId="60460" xr:uid="{00000000-0005-0000-0000-000070EC0000}"/>
    <cellStyle name="Пояснение 35" xfId="60461" xr:uid="{00000000-0005-0000-0000-000071EC0000}"/>
    <cellStyle name="Пояснение 36" xfId="60462" xr:uid="{00000000-0005-0000-0000-000072EC0000}"/>
    <cellStyle name="Пояснение 37" xfId="60463" xr:uid="{00000000-0005-0000-0000-000073EC0000}"/>
    <cellStyle name="Пояснение 38" xfId="60464" xr:uid="{00000000-0005-0000-0000-000074EC0000}"/>
    <cellStyle name="Пояснение 39" xfId="60465" xr:uid="{00000000-0005-0000-0000-000075EC0000}"/>
    <cellStyle name="Пояснение 4" xfId="60466" xr:uid="{00000000-0005-0000-0000-000076EC0000}"/>
    <cellStyle name="Пояснение 40" xfId="60467" xr:uid="{00000000-0005-0000-0000-000077EC0000}"/>
    <cellStyle name="Пояснение 41" xfId="60468" xr:uid="{00000000-0005-0000-0000-000078EC0000}"/>
    <cellStyle name="Пояснение 42" xfId="60469" xr:uid="{00000000-0005-0000-0000-000079EC0000}"/>
    <cellStyle name="Пояснение 43" xfId="60470" xr:uid="{00000000-0005-0000-0000-00007AEC0000}"/>
    <cellStyle name="Пояснение 44" xfId="60471" xr:uid="{00000000-0005-0000-0000-00007BEC0000}"/>
    <cellStyle name="Пояснение 45" xfId="60472" xr:uid="{00000000-0005-0000-0000-00007CEC0000}"/>
    <cellStyle name="Пояснение 46" xfId="60473" xr:uid="{00000000-0005-0000-0000-00007DEC0000}"/>
    <cellStyle name="Пояснение 47" xfId="60474" xr:uid="{00000000-0005-0000-0000-00007EEC0000}"/>
    <cellStyle name="Пояснение 48" xfId="60475" xr:uid="{00000000-0005-0000-0000-00007FEC0000}"/>
    <cellStyle name="Пояснение 49" xfId="60476" xr:uid="{00000000-0005-0000-0000-000080EC0000}"/>
    <cellStyle name="Пояснение 5" xfId="60477" xr:uid="{00000000-0005-0000-0000-000081EC0000}"/>
    <cellStyle name="Пояснение 50" xfId="60478" xr:uid="{00000000-0005-0000-0000-000082EC0000}"/>
    <cellStyle name="Пояснение 51" xfId="60479" xr:uid="{00000000-0005-0000-0000-000083EC0000}"/>
    <cellStyle name="Пояснение 52" xfId="60480" xr:uid="{00000000-0005-0000-0000-000084EC0000}"/>
    <cellStyle name="Пояснение 53" xfId="60481" xr:uid="{00000000-0005-0000-0000-000085EC0000}"/>
    <cellStyle name="Пояснение 54" xfId="60482" xr:uid="{00000000-0005-0000-0000-000086EC0000}"/>
    <cellStyle name="Пояснение 55" xfId="60483" xr:uid="{00000000-0005-0000-0000-000087EC0000}"/>
    <cellStyle name="Пояснение 56" xfId="60484" xr:uid="{00000000-0005-0000-0000-000088EC0000}"/>
    <cellStyle name="Пояснение 57" xfId="60485" xr:uid="{00000000-0005-0000-0000-000089EC0000}"/>
    <cellStyle name="Пояснение 58" xfId="60486" xr:uid="{00000000-0005-0000-0000-00008AEC0000}"/>
    <cellStyle name="Пояснение 59" xfId="60487" xr:uid="{00000000-0005-0000-0000-00008BEC0000}"/>
    <cellStyle name="Пояснение 6" xfId="60488" xr:uid="{00000000-0005-0000-0000-00008CEC0000}"/>
    <cellStyle name="Пояснение 60" xfId="60489" xr:uid="{00000000-0005-0000-0000-00008DEC0000}"/>
    <cellStyle name="Пояснение 61" xfId="60490" xr:uid="{00000000-0005-0000-0000-00008EEC0000}"/>
    <cellStyle name="Пояснение 62" xfId="60491" xr:uid="{00000000-0005-0000-0000-00008FEC0000}"/>
    <cellStyle name="Пояснение 63" xfId="60492" xr:uid="{00000000-0005-0000-0000-000090EC0000}"/>
    <cellStyle name="Пояснение 64" xfId="60493" xr:uid="{00000000-0005-0000-0000-000091EC0000}"/>
    <cellStyle name="Пояснение 65" xfId="60494" xr:uid="{00000000-0005-0000-0000-000092EC0000}"/>
    <cellStyle name="Пояснение 66" xfId="60495" xr:uid="{00000000-0005-0000-0000-000093EC0000}"/>
    <cellStyle name="Пояснение 67" xfId="60496" xr:uid="{00000000-0005-0000-0000-000094EC0000}"/>
    <cellStyle name="Пояснение 68" xfId="60497" xr:uid="{00000000-0005-0000-0000-000095EC0000}"/>
    <cellStyle name="Пояснение 69" xfId="60498" xr:uid="{00000000-0005-0000-0000-000096EC0000}"/>
    <cellStyle name="Пояснение 7" xfId="60499" xr:uid="{00000000-0005-0000-0000-000097EC0000}"/>
    <cellStyle name="Пояснение 70" xfId="60500" xr:uid="{00000000-0005-0000-0000-000098EC0000}"/>
    <cellStyle name="Пояснение 71" xfId="60501" xr:uid="{00000000-0005-0000-0000-000099EC0000}"/>
    <cellStyle name="Пояснение 72" xfId="60502" xr:uid="{00000000-0005-0000-0000-00009AEC0000}"/>
    <cellStyle name="Пояснение 73" xfId="60503" xr:uid="{00000000-0005-0000-0000-00009BEC0000}"/>
    <cellStyle name="Пояснение 74" xfId="60504" xr:uid="{00000000-0005-0000-0000-00009CEC0000}"/>
    <cellStyle name="Пояснение 75" xfId="60505" xr:uid="{00000000-0005-0000-0000-00009DEC0000}"/>
    <cellStyle name="Пояснение 76" xfId="60506" xr:uid="{00000000-0005-0000-0000-00009EEC0000}"/>
    <cellStyle name="Пояснение 77" xfId="60507" xr:uid="{00000000-0005-0000-0000-00009FEC0000}"/>
    <cellStyle name="Пояснение 78" xfId="60508" xr:uid="{00000000-0005-0000-0000-0000A0EC0000}"/>
    <cellStyle name="Пояснение 79" xfId="60509" xr:uid="{00000000-0005-0000-0000-0000A1EC0000}"/>
    <cellStyle name="Пояснение 8" xfId="60510" xr:uid="{00000000-0005-0000-0000-0000A2EC0000}"/>
    <cellStyle name="Пояснение 80" xfId="60511" xr:uid="{00000000-0005-0000-0000-0000A3EC0000}"/>
    <cellStyle name="Пояснение 81" xfId="60512" xr:uid="{00000000-0005-0000-0000-0000A4EC0000}"/>
    <cellStyle name="Пояснение 82" xfId="60513" xr:uid="{00000000-0005-0000-0000-0000A5EC0000}"/>
    <cellStyle name="Пояснение 83" xfId="60514" xr:uid="{00000000-0005-0000-0000-0000A6EC0000}"/>
    <cellStyle name="Пояснение 84" xfId="60515" xr:uid="{00000000-0005-0000-0000-0000A7EC0000}"/>
    <cellStyle name="Пояснение 85" xfId="60516" xr:uid="{00000000-0005-0000-0000-0000A8EC0000}"/>
    <cellStyle name="Пояснение 86" xfId="60517" xr:uid="{00000000-0005-0000-0000-0000A9EC0000}"/>
    <cellStyle name="Пояснение 87" xfId="60518" xr:uid="{00000000-0005-0000-0000-0000AAEC0000}"/>
    <cellStyle name="Пояснение 88" xfId="60519" xr:uid="{00000000-0005-0000-0000-0000ABEC0000}"/>
    <cellStyle name="Пояснение 89" xfId="60520" xr:uid="{00000000-0005-0000-0000-0000ACEC0000}"/>
    <cellStyle name="Пояснение 9" xfId="60521" xr:uid="{00000000-0005-0000-0000-0000ADEC0000}"/>
    <cellStyle name="Пояснение 90" xfId="60522" xr:uid="{00000000-0005-0000-0000-0000AEEC0000}"/>
    <cellStyle name="Пояснение 91" xfId="60523" xr:uid="{00000000-0005-0000-0000-0000AFEC0000}"/>
    <cellStyle name="Пояснение 92" xfId="60524" xr:uid="{00000000-0005-0000-0000-0000B0EC0000}"/>
    <cellStyle name="Пояснение 93" xfId="60525" xr:uid="{00000000-0005-0000-0000-0000B1EC0000}"/>
    <cellStyle name="Пояснение 94" xfId="60526" xr:uid="{00000000-0005-0000-0000-0000B2EC0000}"/>
    <cellStyle name="Пояснение 95" xfId="60527" xr:uid="{00000000-0005-0000-0000-0000B3EC0000}"/>
    <cellStyle name="Пояснение 96" xfId="60528" xr:uid="{00000000-0005-0000-0000-0000B4EC0000}"/>
    <cellStyle name="Пояснение 97" xfId="60529" xr:uid="{00000000-0005-0000-0000-0000B5EC0000}"/>
    <cellStyle name="Пояснение 98" xfId="60530" xr:uid="{00000000-0005-0000-0000-0000B6EC0000}"/>
    <cellStyle name="Пояснение 99" xfId="60531" xr:uid="{00000000-0005-0000-0000-0000B7EC0000}"/>
    <cellStyle name="Примечание 10" xfId="60532" xr:uid="{00000000-0005-0000-0000-0000B8EC0000}"/>
    <cellStyle name="Примечание 10 2" xfId="60533" xr:uid="{00000000-0005-0000-0000-0000B9EC0000}"/>
    <cellStyle name="Примечание 10 3" xfId="60534" xr:uid="{00000000-0005-0000-0000-0000BAEC0000}"/>
    <cellStyle name="Примечание 100" xfId="60535" xr:uid="{00000000-0005-0000-0000-0000BBEC0000}"/>
    <cellStyle name="Примечание 101" xfId="60536" xr:uid="{00000000-0005-0000-0000-0000BCEC0000}"/>
    <cellStyle name="Примечание 102" xfId="60537" xr:uid="{00000000-0005-0000-0000-0000BDEC0000}"/>
    <cellStyle name="Примечание 103" xfId="60538" xr:uid="{00000000-0005-0000-0000-0000BEEC0000}"/>
    <cellStyle name="Примечание 104" xfId="60539" xr:uid="{00000000-0005-0000-0000-0000BFEC0000}"/>
    <cellStyle name="Примечание 105" xfId="60540" xr:uid="{00000000-0005-0000-0000-0000C0EC0000}"/>
    <cellStyle name="Примечание 106" xfId="60541" xr:uid="{00000000-0005-0000-0000-0000C1EC0000}"/>
    <cellStyle name="Примечание 107" xfId="60542" xr:uid="{00000000-0005-0000-0000-0000C2EC0000}"/>
    <cellStyle name="Примечание 108" xfId="60543" xr:uid="{00000000-0005-0000-0000-0000C3EC0000}"/>
    <cellStyle name="Примечание 109" xfId="60544" xr:uid="{00000000-0005-0000-0000-0000C4EC0000}"/>
    <cellStyle name="Примечание 11" xfId="60545" xr:uid="{00000000-0005-0000-0000-0000C5EC0000}"/>
    <cellStyle name="Примечание 11 2" xfId="60546" xr:uid="{00000000-0005-0000-0000-0000C6EC0000}"/>
    <cellStyle name="Примечание 11 3" xfId="60547" xr:uid="{00000000-0005-0000-0000-0000C7EC0000}"/>
    <cellStyle name="Примечание 110" xfId="60548" xr:uid="{00000000-0005-0000-0000-0000C8EC0000}"/>
    <cellStyle name="Примечание 111" xfId="60549" xr:uid="{00000000-0005-0000-0000-0000C9EC0000}"/>
    <cellStyle name="Примечание 112" xfId="60550" xr:uid="{00000000-0005-0000-0000-0000CAEC0000}"/>
    <cellStyle name="Примечание 113" xfId="60551" xr:uid="{00000000-0005-0000-0000-0000CBEC0000}"/>
    <cellStyle name="Примечание 114" xfId="60552" xr:uid="{00000000-0005-0000-0000-0000CCEC0000}"/>
    <cellStyle name="Примечание 115" xfId="60553" xr:uid="{00000000-0005-0000-0000-0000CDEC0000}"/>
    <cellStyle name="Примечание 116" xfId="60554" xr:uid="{00000000-0005-0000-0000-0000CEEC0000}"/>
    <cellStyle name="Примечание 117" xfId="60555" xr:uid="{00000000-0005-0000-0000-0000CFEC0000}"/>
    <cellStyle name="Примечание 118" xfId="60556" xr:uid="{00000000-0005-0000-0000-0000D0EC0000}"/>
    <cellStyle name="Примечание 119" xfId="60557" xr:uid="{00000000-0005-0000-0000-0000D1EC0000}"/>
    <cellStyle name="Примечание 12" xfId="60558" xr:uid="{00000000-0005-0000-0000-0000D2EC0000}"/>
    <cellStyle name="Примечание 12 2" xfId="60559" xr:uid="{00000000-0005-0000-0000-0000D3EC0000}"/>
    <cellStyle name="Примечание 12 3" xfId="60560" xr:uid="{00000000-0005-0000-0000-0000D4EC0000}"/>
    <cellStyle name="Примечание 120" xfId="60561" xr:uid="{00000000-0005-0000-0000-0000D5EC0000}"/>
    <cellStyle name="Примечание 121" xfId="60562" xr:uid="{00000000-0005-0000-0000-0000D6EC0000}"/>
    <cellStyle name="Примечание 122" xfId="60563" xr:uid="{00000000-0005-0000-0000-0000D7EC0000}"/>
    <cellStyle name="Примечание 123" xfId="60564" xr:uid="{00000000-0005-0000-0000-0000D8EC0000}"/>
    <cellStyle name="Примечание 124" xfId="60565" xr:uid="{00000000-0005-0000-0000-0000D9EC0000}"/>
    <cellStyle name="Примечание 125" xfId="60566" xr:uid="{00000000-0005-0000-0000-0000DAEC0000}"/>
    <cellStyle name="Примечание 126" xfId="60567" xr:uid="{00000000-0005-0000-0000-0000DBEC0000}"/>
    <cellStyle name="Примечание 127" xfId="60568" xr:uid="{00000000-0005-0000-0000-0000DCEC0000}"/>
    <cellStyle name="Примечание 128" xfId="60569" xr:uid="{00000000-0005-0000-0000-0000DDEC0000}"/>
    <cellStyle name="Примечание 129" xfId="60570" xr:uid="{00000000-0005-0000-0000-0000DEEC0000}"/>
    <cellStyle name="Примечание 13" xfId="60571" xr:uid="{00000000-0005-0000-0000-0000DFEC0000}"/>
    <cellStyle name="Примечание 13 2" xfId="60572" xr:uid="{00000000-0005-0000-0000-0000E0EC0000}"/>
    <cellStyle name="Примечание 13 3" xfId="60573" xr:uid="{00000000-0005-0000-0000-0000E1EC0000}"/>
    <cellStyle name="Примечание 130" xfId="60574" xr:uid="{00000000-0005-0000-0000-0000E2EC0000}"/>
    <cellStyle name="Примечание 131" xfId="60575" xr:uid="{00000000-0005-0000-0000-0000E3EC0000}"/>
    <cellStyle name="Примечание 132" xfId="60576" xr:uid="{00000000-0005-0000-0000-0000E4EC0000}"/>
    <cellStyle name="Примечание 133" xfId="60577" xr:uid="{00000000-0005-0000-0000-0000E5EC0000}"/>
    <cellStyle name="Примечание 134" xfId="60578" xr:uid="{00000000-0005-0000-0000-0000E6EC0000}"/>
    <cellStyle name="Примечание 135" xfId="60579" xr:uid="{00000000-0005-0000-0000-0000E7EC0000}"/>
    <cellStyle name="Примечание 136" xfId="60580" xr:uid="{00000000-0005-0000-0000-0000E8EC0000}"/>
    <cellStyle name="Примечание 137" xfId="60581" xr:uid="{00000000-0005-0000-0000-0000E9EC0000}"/>
    <cellStyle name="Примечание 138" xfId="60582" xr:uid="{00000000-0005-0000-0000-0000EAEC0000}"/>
    <cellStyle name="Примечание 139" xfId="60583" xr:uid="{00000000-0005-0000-0000-0000EBEC0000}"/>
    <cellStyle name="Примечание 14" xfId="60584" xr:uid="{00000000-0005-0000-0000-0000ECEC0000}"/>
    <cellStyle name="Примечание 140" xfId="60585" xr:uid="{00000000-0005-0000-0000-0000EDEC0000}"/>
    <cellStyle name="Примечание 141" xfId="60586" xr:uid="{00000000-0005-0000-0000-0000EEEC0000}"/>
    <cellStyle name="Примечание 142" xfId="60587" xr:uid="{00000000-0005-0000-0000-0000EFEC0000}"/>
    <cellStyle name="Примечание 143" xfId="60588" xr:uid="{00000000-0005-0000-0000-0000F0EC0000}"/>
    <cellStyle name="Примечание 144" xfId="60589" xr:uid="{00000000-0005-0000-0000-0000F1EC0000}"/>
    <cellStyle name="Примечание 145" xfId="60590" xr:uid="{00000000-0005-0000-0000-0000F2EC0000}"/>
    <cellStyle name="Примечание 146" xfId="60591" xr:uid="{00000000-0005-0000-0000-0000F3EC0000}"/>
    <cellStyle name="Примечание 147" xfId="60592" xr:uid="{00000000-0005-0000-0000-0000F4EC0000}"/>
    <cellStyle name="Примечание 148" xfId="60593" xr:uid="{00000000-0005-0000-0000-0000F5EC0000}"/>
    <cellStyle name="Примечание 149" xfId="60594" xr:uid="{00000000-0005-0000-0000-0000F6EC0000}"/>
    <cellStyle name="Примечание 15" xfId="60595" xr:uid="{00000000-0005-0000-0000-0000F7EC0000}"/>
    <cellStyle name="Примечание 150" xfId="60596" xr:uid="{00000000-0005-0000-0000-0000F8EC0000}"/>
    <cellStyle name="Примечание 151" xfId="60597" xr:uid="{00000000-0005-0000-0000-0000F9EC0000}"/>
    <cellStyle name="Примечание 152" xfId="60598" xr:uid="{00000000-0005-0000-0000-0000FAEC0000}"/>
    <cellStyle name="Примечание 153" xfId="60599" xr:uid="{00000000-0005-0000-0000-0000FBEC0000}"/>
    <cellStyle name="Примечание 154" xfId="60600" xr:uid="{00000000-0005-0000-0000-0000FCEC0000}"/>
    <cellStyle name="Примечание 155" xfId="60601" xr:uid="{00000000-0005-0000-0000-0000FDEC0000}"/>
    <cellStyle name="Примечание 156" xfId="60602" xr:uid="{00000000-0005-0000-0000-0000FEEC0000}"/>
    <cellStyle name="Примечание 157" xfId="60603" xr:uid="{00000000-0005-0000-0000-0000FFEC0000}"/>
    <cellStyle name="Примечание 158" xfId="60604" xr:uid="{00000000-0005-0000-0000-000000ED0000}"/>
    <cellStyle name="Примечание 159" xfId="60605" xr:uid="{00000000-0005-0000-0000-000001ED0000}"/>
    <cellStyle name="Примечание 16" xfId="60606" xr:uid="{00000000-0005-0000-0000-000002ED0000}"/>
    <cellStyle name="Примечание 160" xfId="60607" xr:uid="{00000000-0005-0000-0000-000003ED0000}"/>
    <cellStyle name="Примечание 161" xfId="60608" xr:uid="{00000000-0005-0000-0000-000004ED0000}"/>
    <cellStyle name="Примечание 162" xfId="60609" xr:uid="{00000000-0005-0000-0000-000005ED0000}"/>
    <cellStyle name="Примечание 163" xfId="60610" xr:uid="{00000000-0005-0000-0000-000006ED0000}"/>
    <cellStyle name="Примечание 164" xfId="60611" xr:uid="{00000000-0005-0000-0000-000007ED0000}"/>
    <cellStyle name="Примечание 17" xfId="60612" xr:uid="{00000000-0005-0000-0000-000008ED0000}"/>
    <cellStyle name="Примечание 18" xfId="60613" xr:uid="{00000000-0005-0000-0000-000009ED0000}"/>
    <cellStyle name="Примечание 19" xfId="60614" xr:uid="{00000000-0005-0000-0000-00000AED0000}"/>
    <cellStyle name="Примечание 2" xfId="60615" xr:uid="{00000000-0005-0000-0000-00000BED0000}"/>
    <cellStyle name="Примечание 2 2" xfId="60616" xr:uid="{00000000-0005-0000-0000-00000CED0000}"/>
    <cellStyle name="Примечание 2 3" xfId="60617" xr:uid="{00000000-0005-0000-0000-00000DED0000}"/>
    <cellStyle name="Примечание 2 4" xfId="60618" xr:uid="{00000000-0005-0000-0000-00000EED0000}"/>
    <cellStyle name="Примечание 20" xfId="60619" xr:uid="{00000000-0005-0000-0000-00000FED0000}"/>
    <cellStyle name="Примечание 21" xfId="60620" xr:uid="{00000000-0005-0000-0000-000010ED0000}"/>
    <cellStyle name="Примечание 22" xfId="60621" xr:uid="{00000000-0005-0000-0000-000011ED0000}"/>
    <cellStyle name="Примечание 23" xfId="60622" xr:uid="{00000000-0005-0000-0000-000012ED0000}"/>
    <cellStyle name="Примечание 24" xfId="60623" xr:uid="{00000000-0005-0000-0000-000013ED0000}"/>
    <cellStyle name="Примечание 25" xfId="60624" xr:uid="{00000000-0005-0000-0000-000014ED0000}"/>
    <cellStyle name="Примечание 26" xfId="60625" xr:uid="{00000000-0005-0000-0000-000015ED0000}"/>
    <cellStyle name="Примечание 27" xfId="60626" xr:uid="{00000000-0005-0000-0000-000016ED0000}"/>
    <cellStyle name="Примечание 28" xfId="60627" xr:uid="{00000000-0005-0000-0000-000017ED0000}"/>
    <cellStyle name="Примечание 29" xfId="60628" xr:uid="{00000000-0005-0000-0000-000018ED0000}"/>
    <cellStyle name="Примечание 3" xfId="60629" xr:uid="{00000000-0005-0000-0000-000019ED0000}"/>
    <cellStyle name="Примечание 3 2" xfId="60630" xr:uid="{00000000-0005-0000-0000-00001AED0000}"/>
    <cellStyle name="Примечание 3 3" xfId="60631" xr:uid="{00000000-0005-0000-0000-00001BED0000}"/>
    <cellStyle name="Примечание 30" xfId="60632" xr:uid="{00000000-0005-0000-0000-00001CED0000}"/>
    <cellStyle name="Примечание 31" xfId="60633" xr:uid="{00000000-0005-0000-0000-00001DED0000}"/>
    <cellStyle name="Примечание 32" xfId="60634" xr:uid="{00000000-0005-0000-0000-00001EED0000}"/>
    <cellStyle name="Примечание 33" xfId="60635" xr:uid="{00000000-0005-0000-0000-00001FED0000}"/>
    <cellStyle name="Примечание 34" xfId="60636" xr:uid="{00000000-0005-0000-0000-000020ED0000}"/>
    <cellStyle name="Примечание 35" xfId="60637" xr:uid="{00000000-0005-0000-0000-000021ED0000}"/>
    <cellStyle name="Примечание 36" xfId="60638" xr:uid="{00000000-0005-0000-0000-000022ED0000}"/>
    <cellStyle name="Примечание 37" xfId="60639" xr:uid="{00000000-0005-0000-0000-000023ED0000}"/>
    <cellStyle name="Примечание 38" xfId="60640" xr:uid="{00000000-0005-0000-0000-000024ED0000}"/>
    <cellStyle name="Примечание 39" xfId="60641" xr:uid="{00000000-0005-0000-0000-000025ED0000}"/>
    <cellStyle name="Примечание 4" xfId="60642" xr:uid="{00000000-0005-0000-0000-000026ED0000}"/>
    <cellStyle name="Примечание 4 2" xfId="60643" xr:uid="{00000000-0005-0000-0000-000027ED0000}"/>
    <cellStyle name="Примечание 4 3" xfId="60644" xr:uid="{00000000-0005-0000-0000-000028ED0000}"/>
    <cellStyle name="Примечание 40" xfId="60645" xr:uid="{00000000-0005-0000-0000-000029ED0000}"/>
    <cellStyle name="Примечание 41" xfId="60646" xr:uid="{00000000-0005-0000-0000-00002AED0000}"/>
    <cellStyle name="Примечание 42" xfId="60647" xr:uid="{00000000-0005-0000-0000-00002BED0000}"/>
    <cellStyle name="Примечание 43" xfId="60648" xr:uid="{00000000-0005-0000-0000-00002CED0000}"/>
    <cellStyle name="Примечание 44" xfId="60649" xr:uid="{00000000-0005-0000-0000-00002DED0000}"/>
    <cellStyle name="Примечание 45" xfId="60650" xr:uid="{00000000-0005-0000-0000-00002EED0000}"/>
    <cellStyle name="Примечание 46" xfId="60651" xr:uid="{00000000-0005-0000-0000-00002FED0000}"/>
    <cellStyle name="Примечание 47" xfId="60652" xr:uid="{00000000-0005-0000-0000-000030ED0000}"/>
    <cellStyle name="Примечание 48" xfId="60653" xr:uid="{00000000-0005-0000-0000-000031ED0000}"/>
    <cellStyle name="Примечание 49" xfId="60654" xr:uid="{00000000-0005-0000-0000-000032ED0000}"/>
    <cellStyle name="Примечание 5" xfId="60655" xr:uid="{00000000-0005-0000-0000-000033ED0000}"/>
    <cellStyle name="Примечание 5 2" xfId="60656" xr:uid="{00000000-0005-0000-0000-000034ED0000}"/>
    <cellStyle name="Примечание 5 3" xfId="60657" xr:uid="{00000000-0005-0000-0000-000035ED0000}"/>
    <cellStyle name="Примечание 50" xfId="60658" xr:uid="{00000000-0005-0000-0000-000036ED0000}"/>
    <cellStyle name="Примечание 51" xfId="60659" xr:uid="{00000000-0005-0000-0000-000037ED0000}"/>
    <cellStyle name="Примечание 52" xfId="60660" xr:uid="{00000000-0005-0000-0000-000038ED0000}"/>
    <cellStyle name="Примечание 53" xfId="60661" xr:uid="{00000000-0005-0000-0000-000039ED0000}"/>
    <cellStyle name="Примечание 54" xfId="60662" xr:uid="{00000000-0005-0000-0000-00003AED0000}"/>
    <cellStyle name="Примечание 55" xfId="60663" xr:uid="{00000000-0005-0000-0000-00003BED0000}"/>
    <cellStyle name="Примечание 56" xfId="60664" xr:uid="{00000000-0005-0000-0000-00003CED0000}"/>
    <cellStyle name="Примечание 57" xfId="60665" xr:uid="{00000000-0005-0000-0000-00003DED0000}"/>
    <cellStyle name="Примечание 58" xfId="60666" xr:uid="{00000000-0005-0000-0000-00003EED0000}"/>
    <cellStyle name="Примечание 59" xfId="60667" xr:uid="{00000000-0005-0000-0000-00003FED0000}"/>
    <cellStyle name="Примечание 6" xfId="60668" xr:uid="{00000000-0005-0000-0000-000040ED0000}"/>
    <cellStyle name="Примечание 6 2" xfId="60669" xr:uid="{00000000-0005-0000-0000-000041ED0000}"/>
    <cellStyle name="Примечание 6 3" xfId="60670" xr:uid="{00000000-0005-0000-0000-000042ED0000}"/>
    <cellStyle name="Примечание 60" xfId="60671" xr:uid="{00000000-0005-0000-0000-000043ED0000}"/>
    <cellStyle name="Примечание 61" xfId="60672" xr:uid="{00000000-0005-0000-0000-000044ED0000}"/>
    <cellStyle name="Примечание 62" xfId="60673" xr:uid="{00000000-0005-0000-0000-000045ED0000}"/>
    <cellStyle name="Примечание 63" xfId="60674" xr:uid="{00000000-0005-0000-0000-000046ED0000}"/>
    <cellStyle name="Примечание 64" xfId="60675" xr:uid="{00000000-0005-0000-0000-000047ED0000}"/>
    <cellStyle name="Примечание 65" xfId="60676" xr:uid="{00000000-0005-0000-0000-000048ED0000}"/>
    <cellStyle name="Примечание 66" xfId="60677" xr:uid="{00000000-0005-0000-0000-000049ED0000}"/>
    <cellStyle name="Примечание 67" xfId="60678" xr:uid="{00000000-0005-0000-0000-00004AED0000}"/>
    <cellStyle name="Примечание 68" xfId="60679" xr:uid="{00000000-0005-0000-0000-00004BED0000}"/>
    <cellStyle name="Примечание 69" xfId="60680" xr:uid="{00000000-0005-0000-0000-00004CED0000}"/>
    <cellStyle name="Примечание 7" xfId="60681" xr:uid="{00000000-0005-0000-0000-00004DED0000}"/>
    <cellStyle name="Примечание 7 2" xfId="60682" xr:uid="{00000000-0005-0000-0000-00004EED0000}"/>
    <cellStyle name="Примечание 7 3" xfId="60683" xr:uid="{00000000-0005-0000-0000-00004FED0000}"/>
    <cellStyle name="Примечание 70" xfId="60684" xr:uid="{00000000-0005-0000-0000-000050ED0000}"/>
    <cellStyle name="Примечание 71" xfId="60685" xr:uid="{00000000-0005-0000-0000-000051ED0000}"/>
    <cellStyle name="Примечание 72" xfId="60686" xr:uid="{00000000-0005-0000-0000-000052ED0000}"/>
    <cellStyle name="Примечание 73" xfId="60687" xr:uid="{00000000-0005-0000-0000-000053ED0000}"/>
    <cellStyle name="Примечание 74" xfId="60688" xr:uid="{00000000-0005-0000-0000-000054ED0000}"/>
    <cellStyle name="Примечание 75" xfId="60689" xr:uid="{00000000-0005-0000-0000-000055ED0000}"/>
    <cellStyle name="Примечание 76" xfId="60690" xr:uid="{00000000-0005-0000-0000-000056ED0000}"/>
    <cellStyle name="Примечание 77" xfId="60691" xr:uid="{00000000-0005-0000-0000-000057ED0000}"/>
    <cellStyle name="Примечание 78" xfId="60692" xr:uid="{00000000-0005-0000-0000-000058ED0000}"/>
    <cellStyle name="Примечание 79" xfId="60693" xr:uid="{00000000-0005-0000-0000-000059ED0000}"/>
    <cellStyle name="Примечание 8" xfId="60694" xr:uid="{00000000-0005-0000-0000-00005AED0000}"/>
    <cellStyle name="Примечание 8 2" xfId="60695" xr:uid="{00000000-0005-0000-0000-00005BED0000}"/>
    <cellStyle name="Примечание 8 3" xfId="60696" xr:uid="{00000000-0005-0000-0000-00005CED0000}"/>
    <cellStyle name="Примечание 80" xfId="60697" xr:uid="{00000000-0005-0000-0000-00005DED0000}"/>
    <cellStyle name="Примечание 81" xfId="60698" xr:uid="{00000000-0005-0000-0000-00005EED0000}"/>
    <cellStyle name="Примечание 82" xfId="60699" xr:uid="{00000000-0005-0000-0000-00005FED0000}"/>
    <cellStyle name="Примечание 83" xfId="60700" xr:uid="{00000000-0005-0000-0000-000060ED0000}"/>
    <cellStyle name="Примечание 84" xfId="60701" xr:uid="{00000000-0005-0000-0000-000061ED0000}"/>
    <cellStyle name="Примечание 85" xfId="60702" xr:uid="{00000000-0005-0000-0000-000062ED0000}"/>
    <cellStyle name="Примечание 86" xfId="60703" xr:uid="{00000000-0005-0000-0000-000063ED0000}"/>
    <cellStyle name="Примечание 87" xfId="60704" xr:uid="{00000000-0005-0000-0000-000064ED0000}"/>
    <cellStyle name="Примечание 88" xfId="60705" xr:uid="{00000000-0005-0000-0000-000065ED0000}"/>
    <cellStyle name="Примечание 89" xfId="60706" xr:uid="{00000000-0005-0000-0000-000066ED0000}"/>
    <cellStyle name="Примечание 9" xfId="60707" xr:uid="{00000000-0005-0000-0000-000067ED0000}"/>
    <cellStyle name="Примечание 9 2" xfId="60708" xr:uid="{00000000-0005-0000-0000-000068ED0000}"/>
    <cellStyle name="Примечание 9 3" xfId="60709" xr:uid="{00000000-0005-0000-0000-000069ED0000}"/>
    <cellStyle name="Примечание 90" xfId="60710" xr:uid="{00000000-0005-0000-0000-00006AED0000}"/>
    <cellStyle name="Примечание 91" xfId="60711" xr:uid="{00000000-0005-0000-0000-00006BED0000}"/>
    <cellStyle name="Примечание 92" xfId="60712" xr:uid="{00000000-0005-0000-0000-00006CED0000}"/>
    <cellStyle name="Примечание 93" xfId="60713" xr:uid="{00000000-0005-0000-0000-00006DED0000}"/>
    <cellStyle name="Примечание 94" xfId="60714" xr:uid="{00000000-0005-0000-0000-00006EED0000}"/>
    <cellStyle name="Примечание 95" xfId="60715" xr:uid="{00000000-0005-0000-0000-00006FED0000}"/>
    <cellStyle name="Примечание 96" xfId="60716" xr:uid="{00000000-0005-0000-0000-000070ED0000}"/>
    <cellStyle name="Примечание 97" xfId="60717" xr:uid="{00000000-0005-0000-0000-000071ED0000}"/>
    <cellStyle name="Примечание 98" xfId="60718" xr:uid="{00000000-0005-0000-0000-000072ED0000}"/>
    <cellStyle name="Примечание 99" xfId="60719" xr:uid="{00000000-0005-0000-0000-000073ED0000}"/>
    <cellStyle name="Процентный 10" xfId="60720" xr:uid="{00000000-0005-0000-0000-000074ED0000}"/>
    <cellStyle name="Процентный 11" xfId="60721" xr:uid="{00000000-0005-0000-0000-000075ED0000}"/>
    <cellStyle name="Процентный 2" xfId="60722" xr:uid="{00000000-0005-0000-0000-000076ED0000}"/>
    <cellStyle name="Процентный 2 2" xfId="60723" xr:uid="{00000000-0005-0000-0000-000077ED0000}"/>
    <cellStyle name="Процентный 3" xfId="60724" xr:uid="{00000000-0005-0000-0000-000078ED0000}"/>
    <cellStyle name="Процентный 4" xfId="60725" xr:uid="{00000000-0005-0000-0000-000079ED0000}"/>
    <cellStyle name="Процентный 4 2" xfId="60726" xr:uid="{00000000-0005-0000-0000-00007AED0000}"/>
    <cellStyle name="Процентный 4 2 2" xfId="60727" xr:uid="{00000000-0005-0000-0000-00007BED0000}"/>
    <cellStyle name="Процентный 4 2 3" xfId="60728" xr:uid="{00000000-0005-0000-0000-00007CED0000}"/>
    <cellStyle name="Процентный 4 3" xfId="60729" xr:uid="{00000000-0005-0000-0000-00007DED0000}"/>
    <cellStyle name="Процентный 4 3 2" xfId="60730" xr:uid="{00000000-0005-0000-0000-00007EED0000}"/>
    <cellStyle name="Процентный 4 4" xfId="60731" xr:uid="{00000000-0005-0000-0000-00007FED0000}"/>
    <cellStyle name="Процентный 4 5" xfId="60732" xr:uid="{00000000-0005-0000-0000-000080ED0000}"/>
    <cellStyle name="Процентный 5" xfId="60733" xr:uid="{00000000-0005-0000-0000-000081ED0000}"/>
    <cellStyle name="Процентный 6" xfId="60734" xr:uid="{00000000-0005-0000-0000-000082ED0000}"/>
    <cellStyle name="Процентный 7" xfId="60735" xr:uid="{00000000-0005-0000-0000-000083ED0000}"/>
    <cellStyle name="Процентный 8" xfId="60736" xr:uid="{00000000-0005-0000-0000-000084ED0000}"/>
    <cellStyle name="Процентный 9" xfId="60737" xr:uid="{00000000-0005-0000-0000-000085ED0000}"/>
    <cellStyle name="Связанная ячейка 10" xfId="60738" xr:uid="{00000000-0005-0000-0000-000086ED0000}"/>
    <cellStyle name="Связанная ячейка 100" xfId="60739" xr:uid="{00000000-0005-0000-0000-000087ED0000}"/>
    <cellStyle name="Связанная ячейка 101" xfId="60740" xr:uid="{00000000-0005-0000-0000-000088ED0000}"/>
    <cellStyle name="Связанная ячейка 102" xfId="60741" xr:uid="{00000000-0005-0000-0000-000089ED0000}"/>
    <cellStyle name="Связанная ячейка 103" xfId="60742" xr:uid="{00000000-0005-0000-0000-00008AED0000}"/>
    <cellStyle name="Связанная ячейка 104" xfId="60743" xr:uid="{00000000-0005-0000-0000-00008BED0000}"/>
    <cellStyle name="Связанная ячейка 105" xfId="60744" xr:uid="{00000000-0005-0000-0000-00008CED0000}"/>
    <cellStyle name="Связанная ячейка 106" xfId="60745" xr:uid="{00000000-0005-0000-0000-00008DED0000}"/>
    <cellStyle name="Связанная ячейка 107" xfId="60746" xr:uid="{00000000-0005-0000-0000-00008EED0000}"/>
    <cellStyle name="Связанная ячейка 108" xfId="60747" xr:uid="{00000000-0005-0000-0000-00008FED0000}"/>
    <cellStyle name="Связанная ячейка 109" xfId="60748" xr:uid="{00000000-0005-0000-0000-000090ED0000}"/>
    <cellStyle name="Связанная ячейка 11" xfId="60749" xr:uid="{00000000-0005-0000-0000-000091ED0000}"/>
    <cellStyle name="Связанная ячейка 110" xfId="60750" xr:uid="{00000000-0005-0000-0000-000092ED0000}"/>
    <cellStyle name="Связанная ячейка 111" xfId="60751" xr:uid="{00000000-0005-0000-0000-000093ED0000}"/>
    <cellStyle name="Связанная ячейка 112" xfId="60752" xr:uid="{00000000-0005-0000-0000-000094ED0000}"/>
    <cellStyle name="Связанная ячейка 113" xfId="60753" xr:uid="{00000000-0005-0000-0000-000095ED0000}"/>
    <cellStyle name="Связанная ячейка 114" xfId="60754" xr:uid="{00000000-0005-0000-0000-000096ED0000}"/>
    <cellStyle name="Связанная ячейка 115" xfId="60755" xr:uid="{00000000-0005-0000-0000-000097ED0000}"/>
    <cellStyle name="Связанная ячейка 116" xfId="60756" xr:uid="{00000000-0005-0000-0000-000098ED0000}"/>
    <cellStyle name="Связанная ячейка 117" xfId="60757" xr:uid="{00000000-0005-0000-0000-000099ED0000}"/>
    <cellStyle name="Связанная ячейка 118" xfId="60758" xr:uid="{00000000-0005-0000-0000-00009AED0000}"/>
    <cellStyle name="Связанная ячейка 119" xfId="60759" xr:uid="{00000000-0005-0000-0000-00009BED0000}"/>
    <cellStyle name="Связанная ячейка 12" xfId="60760" xr:uid="{00000000-0005-0000-0000-00009CED0000}"/>
    <cellStyle name="Связанная ячейка 120" xfId="60761" xr:uid="{00000000-0005-0000-0000-00009DED0000}"/>
    <cellStyle name="Связанная ячейка 121" xfId="60762" xr:uid="{00000000-0005-0000-0000-00009EED0000}"/>
    <cellStyle name="Связанная ячейка 122" xfId="60763" xr:uid="{00000000-0005-0000-0000-00009FED0000}"/>
    <cellStyle name="Связанная ячейка 123" xfId="60764" xr:uid="{00000000-0005-0000-0000-0000A0ED0000}"/>
    <cellStyle name="Связанная ячейка 124" xfId="60765" xr:uid="{00000000-0005-0000-0000-0000A1ED0000}"/>
    <cellStyle name="Связанная ячейка 125" xfId="60766" xr:uid="{00000000-0005-0000-0000-0000A2ED0000}"/>
    <cellStyle name="Связанная ячейка 126" xfId="60767" xr:uid="{00000000-0005-0000-0000-0000A3ED0000}"/>
    <cellStyle name="Связанная ячейка 127" xfId="60768" xr:uid="{00000000-0005-0000-0000-0000A4ED0000}"/>
    <cellStyle name="Связанная ячейка 128" xfId="60769" xr:uid="{00000000-0005-0000-0000-0000A5ED0000}"/>
    <cellStyle name="Связанная ячейка 129" xfId="60770" xr:uid="{00000000-0005-0000-0000-0000A6ED0000}"/>
    <cellStyle name="Связанная ячейка 13" xfId="60771" xr:uid="{00000000-0005-0000-0000-0000A7ED0000}"/>
    <cellStyle name="Связанная ячейка 130" xfId="60772" xr:uid="{00000000-0005-0000-0000-0000A8ED0000}"/>
    <cellStyle name="Связанная ячейка 131" xfId="60773" xr:uid="{00000000-0005-0000-0000-0000A9ED0000}"/>
    <cellStyle name="Связанная ячейка 132" xfId="60774" xr:uid="{00000000-0005-0000-0000-0000AAED0000}"/>
    <cellStyle name="Связанная ячейка 133" xfId="60775" xr:uid="{00000000-0005-0000-0000-0000ABED0000}"/>
    <cellStyle name="Связанная ячейка 134" xfId="60776" xr:uid="{00000000-0005-0000-0000-0000ACED0000}"/>
    <cellStyle name="Связанная ячейка 135" xfId="60777" xr:uid="{00000000-0005-0000-0000-0000ADED0000}"/>
    <cellStyle name="Связанная ячейка 136" xfId="60778" xr:uid="{00000000-0005-0000-0000-0000AEED0000}"/>
    <cellStyle name="Связанная ячейка 137" xfId="60779" xr:uid="{00000000-0005-0000-0000-0000AFED0000}"/>
    <cellStyle name="Связанная ячейка 138" xfId="60780" xr:uid="{00000000-0005-0000-0000-0000B0ED0000}"/>
    <cellStyle name="Связанная ячейка 139" xfId="60781" xr:uid="{00000000-0005-0000-0000-0000B1ED0000}"/>
    <cellStyle name="Связанная ячейка 14" xfId="60782" xr:uid="{00000000-0005-0000-0000-0000B2ED0000}"/>
    <cellStyle name="Связанная ячейка 140" xfId="60783" xr:uid="{00000000-0005-0000-0000-0000B3ED0000}"/>
    <cellStyle name="Связанная ячейка 141" xfId="60784" xr:uid="{00000000-0005-0000-0000-0000B4ED0000}"/>
    <cellStyle name="Связанная ячейка 142" xfId="60785" xr:uid="{00000000-0005-0000-0000-0000B5ED0000}"/>
    <cellStyle name="Связанная ячейка 143" xfId="60786" xr:uid="{00000000-0005-0000-0000-0000B6ED0000}"/>
    <cellStyle name="Связанная ячейка 144" xfId="60787" xr:uid="{00000000-0005-0000-0000-0000B7ED0000}"/>
    <cellStyle name="Связанная ячейка 145" xfId="60788" xr:uid="{00000000-0005-0000-0000-0000B8ED0000}"/>
    <cellStyle name="Связанная ячейка 146" xfId="60789" xr:uid="{00000000-0005-0000-0000-0000B9ED0000}"/>
    <cellStyle name="Связанная ячейка 147" xfId="60790" xr:uid="{00000000-0005-0000-0000-0000BAED0000}"/>
    <cellStyle name="Связанная ячейка 148" xfId="60791" xr:uid="{00000000-0005-0000-0000-0000BBED0000}"/>
    <cellStyle name="Связанная ячейка 149" xfId="60792" xr:uid="{00000000-0005-0000-0000-0000BCED0000}"/>
    <cellStyle name="Связанная ячейка 15" xfId="60793" xr:uid="{00000000-0005-0000-0000-0000BDED0000}"/>
    <cellStyle name="Связанная ячейка 150" xfId="60794" xr:uid="{00000000-0005-0000-0000-0000BEED0000}"/>
    <cellStyle name="Связанная ячейка 151" xfId="60795" xr:uid="{00000000-0005-0000-0000-0000BFED0000}"/>
    <cellStyle name="Связанная ячейка 152" xfId="60796" xr:uid="{00000000-0005-0000-0000-0000C0ED0000}"/>
    <cellStyle name="Связанная ячейка 153" xfId="60797" xr:uid="{00000000-0005-0000-0000-0000C1ED0000}"/>
    <cellStyle name="Связанная ячейка 16" xfId="60798" xr:uid="{00000000-0005-0000-0000-0000C2ED0000}"/>
    <cellStyle name="Связанная ячейка 17" xfId="60799" xr:uid="{00000000-0005-0000-0000-0000C3ED0000}"/>
    <cellStyle name="Связанная ячейка 18" xfId="60800" xr:uid="{00000000-0005-0000-0000-0000C4ED0000}"/>
    <cellStyle name="Связанная ячейка 19" xfId="60801" xr:uid="{00000000-0005-0000-0000-0000C5ED0000}"/>
    <cellStyle name="Связанная ячейка 2" xfId="60802" xr:uid="{00000000-0005-0000-0000-0000C6ED0000}"/>
    <cellStyle name="Связанная ячейка 2 2" xfId="60803" xr:uid="{00000000-0005-0000-0000-0000C7ED0000}"/>
    <cellStyle name="Связанная ячейка 2 2 10" xfId="60804" xr:uid="{00000000-0005-0000-0000-0000C8ED0000}"/>
    <cellStyle name="Связанная ячейка 2 2 11" xfId="60805" xr:uid="{00000000-0005-0000-0000-0000C9ED0000}"/>
    <cellStyle name="Связанная ячейка 2 2 12" xfId="60806" xr:uid="{00000000-0005-0000-0000-0000CAED0000}"/>
    <cellStyle name="Связанная ячейка 2 2 13" xfId="60807" xr:uid="{00000000-0005-0000-0000-0000CBED0000}"/>
    <cellStyle name="Связанная ячейка 2 2 2" xfId="60808" xr:uid="{00000000-0005-0000-0000-0000CCED0000}"/>
    <cellStyle name="Связанная ячейка 2 2 3" xfId="60809" xr:uid="{00000000-0005-0000-0000-0000CDED0000}"/>
    <cellStyle name="Связанная ячейка 2 2 4" xfId="60810" xr:uid="{00000000-0005-0000-0000-0000CEED0000}"/>
    <cellStyle name="Связанная ячейка 2 2 5" xfId="60811" xr:uid="{00000000-0005-0000-0000-0000CFED0000}"/>
    <cellStyle name="Связанная ячейка 2 2 6" xfId="60812" xr:uid="{00000000-0005-0000-0000-0000D0ED0000}"/>
    <cellStyle name="Связанная ячейка 2 2 7" xfId="60813" xr:uid="{00000000-0005-0000-0000-0000D1ED0000}"/>
    <cellStyle name="Связанная ячейка 2 2 8" xfId="60814" xr:uid="{00000000-0005-0000-0000-0000D2ED0000}"/>
    <cellStyle name="Связанная ячейка 2 2 9" xfId="60815" xr:uid="{00000000-0005-0000-0000-0000D3ED0000}"/>
    <cellStyle name="Связанная ячейка 2 3" xfId="60816" xr:uid="{00000000-0005-0000-0000-0000D4ED0000}"/>
    <cellStyle name="Связанная ячейка 20" xfId="60817" xr:uid="{00000000-0005-0000-0000-0000D5ED0000}"/>
    <cellStyle name="Связанная ячейка 21" xfId="60818" xr:uid="{00000000-0005-0000-0000-0000D6ED0000}"/>
    <cellStyle name="Связанная ячейка 22" xfId="60819" xr:uid="{00000000-0005-0000-0000-0000D7ED0000}"/>
    <cellStyle name="Связанная ячейка 23" xfId="60820" xr:uid="{00000000-0005-0000-0000-0000D8ED0000}"/>
    <cellStyle name="Связанная ячейка 24" xfId="60821" xr:uid="{00000000-0005-0000-0000-0000D9ED0000}"/>
    <cellStyle name="Связанная ячейка 25" xfId="60822" xr:uid="{00000000-0005-0000-0000-0000DAED0000}"/>
    <cellStyle name="Связанная ячейка 26" xfId="60823" xr:uid="{00000000-0005-0000-0000-0000DBED0000}"/>
    <cellStyle name="Связанная ячейка 27" xfId="60824" xr:uid="{00000000-0005-0000-0000-0000DCED0000}"/>
    <cellStyle name="Связанная ячейка 28" xfId="60825" xr:uid="{00000000-0005-0000-0000-0000DDED0000}"/>
    <cellStyle name="Связанная ячейка 29" xfId="60826" xr:uid="{00000000-0005-0000-0000-0000DEED0000}"/>
    <cellStyle name="Связанная ячейка 3" xfId="60827" xr:uid="{00000000-0005-0000-0000-0000DFED0000}"/>
    <cellStyle name="Связанная ячейка 30" xfId="60828" xr:uid="{00000000-0005-0000-0000-0000E0ED0000}"/>
    <cellStyle name="Связанная ячейка 31" xfId="60829" xr:uid="{00000000-0005-0000-0000-0000E1ED0000}"/>
    <cellStyle name="Связанная ячейка 32" xfId="60830" xr:uid="{00000000-0005-0000-0000-0000E2ED0000}"/>
    <cellStyle name="Связанная ячейка 33" xfId="60831" xr:uid="{00000000-0005-0000-0000-0000E3ED0000}"/>
    <cellStyle name="Связанная ячейка 34" xfId="60832" xr:uid="{00000000-0005-0000-0000-0000E4ED0000}"/>
    <cellStyle name="Связанная ячейка 35" xfId="60833" xr:uid="{00000000-0005-0000-0000-0000E5ED0000}"/>
    <cellStyle name="Связанная ячейка 36" xfId="60834" xr:uid="{00000000-0005-0000-0000-0000E6ED0000}"/>
    <cellStyle name="Связанная ячейка 37" xfId="60835" xr:uid="{00000000-0005-0000-0000-0000E7ED0000}"/>
    <cellStyle name="Связанная ячейка 38" xfId="60836" xr:uid="{00000000-0005-0000-0000-0000E8ED0000}"/>
    <cellStyle name="Связанная ячейка 39" xfId="60837" xr:uid="{00000000-0005-0000-0000-0000E9ED0000}"/>
    <cellStyle name="Связанная ячейка 4" xfId="60838" xr:uid="{00000000-0005-0000-0000-0000EAED0000}"/>
    <cellStyle name="Связанная ячейка 40" xfId="60839" xr:uid="{00000000-0005-0000-0000-0000EBED0000}"/>
    <cellStyle name="Связанная ячейка 41" xfId="60840" xr:uid="{00000000-0005-0000-0000-0000ECED0000}"/>
    <cellStyle name="Связанная ячейка 42" xfId="60841" xr:uid="{00000000-0005-0000-0000-0000EDED0000}"/>
    <cellStyle name="Связанная ячейка 43" xfId="60842" xr:uid="{00000000-0005-0000-0000-0000EEED0000}"/>
    <cellStyle name="Связанная ячейка 44" xfId="60843" xr:uid="{00000000-0005-0000-0000-0000EFED0000}"/>
    <cellStyle name="Связанная ячейка 45" xfId="60844" xr:uid="{00000000-0005-0000-0000-0000F0ED0000}"/>
    <cellStyle name="Связанная ячейка 46" xfId="60845" xr:uid="{00000000-0005-0000-0000-0000F1ED0000}"/>
    <cellStyle name="Связанная ячейка 47" xfId="60846" xr:uid="{00000000-0005-0000-0000-0000F2ED0000}"/>
    <cellStyle name="Связанная ячейка 48" xfId="60847" xr:uid="{00000000-0005-0000-0000-0000F3ED0000}"/>
    <cellStyle name="Связанная ячейка 49" xfId="60848" xr:uid="{00000000-0005-0000-0000-0000F4ED0000}"/>
    <cellStyle name="Связанная ячейка 5" xfId="60849" xr:uid="{00000000-0005-0000-0000-0000F5ED0000}"/>
    <cellStyle name="Связанная ячейка 50" xfId="60850" xr:uid="{00000000-0005-0000-0000-0000F6ED0000}"/>
    <cellStyle name="Связанная ячейка 51" xfId="60851" xr:uid="{00000000-0005-0000-0000-0000F7ED0000}"/>
    <cellStyle name="Связанная ячейка 52" xfId="60852" xr:uid="{00000000-0005-0000-0000-0000F8ED0000}"/>
    <cellStyle name="Связанная ячейка 53" xfId="60853" xr:uid="{00000000-0005-0000-0000-0000F9ED0000}"/>
    <cellStyle name="Связанная ячейка 54" xfId="60854" xr:uid="{00000000-0005-0000-0000-0000FAED0000}"/>
    <cellStyle name="Связанная ячейка 55" xfId="60855" xr:uid="{00000000-0005-0000-0000-0000FBED0000}"/>
    <cellStyle name="Связанная ячейка 56" xfId="60856" xr:uid="{00000000-0005-0000-0000-0000FCED0000}"/>
    <cellStyle name="Связанная ячейка 57" xfId="60857" xr:uid="{00000000-0005-0000-0000-0000FDED0000}"/>
    <cellStyle name="Связанная ячейка 58" xfId="60858" xr:uid="{00000000-0005-0000-0000-0000FEED0000}"/>
    <cellStyle name="Связанная ячейка 59" xfId="60859" xr:uid="{00000000-0005-0000-0000-0000FFED0000}"/>
    <cellStyle name="Связанная ячейка 6" xfId="60860" xr:uid="{00000000-0005-0000-0000-000000EE0000}"/>
    <cellStyle name="Связанная ячейка 60" xfId="60861" xr:uid="{00000000-0005-0000-0000-000001EE0000}"/>
    <cellStyle name="Связанная ячейка 61" xfId="60862" xr:uid="{00000000-0005-0000-0000-000002EE0000}"/>
    <cellStyle name="Связанная ячейка 62" xfId="60863" xr:uid="{00000000-0005-0000-0000-000003EE0000}"/>
    <cellStyle name="Связанная ячейка 63" xfId="60864" xr:uid="{00000000-0005-0000-0000-000004EE0000}"/>
    <cellStyle name="Связанная ячейка 64" xfId="60865" xr:uid="{00000000-0005-0000-0000-000005EE0000}"/>
    <cellStyle name="Связанная ячейка 65" xfId="60866" xr:uid="{00000000-0005-0000-0000-000006EE0000}"/>
    <cellStyle name="Связанная ячейка 66" xfId="60867" xr:uid="{00000000-0005-0000-0000-000007EE0000}"/>
    <cellStyle name="Связанная ячейка 67" xfId="60868" xr:uid="{00000000-0005-0000-0000-000008EE0000}"/>
    <cellStyle name="Связанная ячейка 68" xfId="60869" xr:uid="{00000000-0005-0000-0000-000009EE0000}"/>
    <cellStyle name="Связанная ячейка 69" xfId="60870" xr:uid="{00000000-0005-0000-0000-00000AEE0000}"/>
    <cellStyle name="Связанная ячейка 7" xfId="60871" xr:uid="{00000000-0005-0000-0000-00000BEE0000}"/>
    <cellStyle name="Связанная ячейка 70" xfId="60872" xr:uid="{00000000-0005-0000-0000-00000CEE0000}"/>
    <cellStyle name="Связанная ячейка 71" xfId="60873" xr:uid="{00000000-0005-0000-0000-00000DEE0000}"/>
    <cellStyle name="Связанная ячейка 72" xfId="60874" xr:uid="{00000000-0005-0000-0000-00000EEE0000}"/>
    <cellStyle name="Связанная ячейка 73" xfId="60875" xr:uid="{00000000-0005-0000-0000-00000FEE0000}"/>
    <cellStyle name="Связанная ячейка 74" xfId="60876" xr:uid="{00000000-0005-0000-0000-000010EE0000}"/>
    <cellStyle name="Связанная ячейка 75" xfId="60877" xr:uid="{00000000-0005-0000-0000-000011EE0000}"/>
    <cellStyle name="Связанная ячейка 76" xfId="60878" xr:uid="{00000000-0005-0000-0000-000012EE0000}"/>
    <cellStyle name="Связанная ячейка 77" xfId="60879" xr:uid="{00000000-0005-0000-0000-000013EE0000}"/>
    <cellStyle name="Связанная ячейка 78" xfId="60880" xr:uid="{00000000-0005-0000-0000-000014EE0000}"/>
    <cellStyle name="Связанная ячейка 79" xfId="60881" xr:uid="{00000000-0005-0000-0000-000015EE0000}"/>
    <cellStyle name="Связанная ячейка 8" xfId="60882" xr:uid="{00000000-0005-0000-0000-000016EE0000}"/>
    <cellStyle name="Связанная ячейка 80" xfId="60883" xr:uid="{00000000-0005-0000-0000-000017EE0000}"/>
    <cellStyle name="Связанная ячейка 81" xfId="60884" xr:uid="{00000000-0005-0000-0000-000018EE0000}"/>
    <cellStyle name="Связанная ячейка 82" xfId="60885" xr:uid="{00000000-0005-0000-0000-000019EE0000}"/>
    <cellStyle name="Связанная ячейка 83" xfId="60886" xr:uid="{00000000-0005-0000-0000-00001AEE0000}"/>
    <cellStyle name="Связанная ячейка 84" xfId="60887" xr:uid="{00000000-0005-0000-0000-00001BEE0000}"/>
    <cellStyle name="Связанная ячейка 85" xfId="60888" xr:uid="{00000000-0005-0000-0000-00001CEE0000}"/>
    <cellStyle name="Связанная ячейка 86" xfId="60889" xr:uid="{00000000-0005-0000-0000-00001DEE0000}"/>
    <cellStyle name="Связанная ячейка 87" xfId="60890" xr:uid="{00000000-0005-0000-0000-00001EEE0000}"/>
    <cellStyle name="Связанная ячейка 88" xfId="60891" xr:uid="{00000000-0005-0000-0000-00001FEE0000}"/>
    <cellStyle name="Связанная ячейка 89" xfId="60892" xr:uid="{00000000-0005-0000-0000-000020EE0000}"/>
    <cellStyle name="Связанная ячейка 9" xfId="60893" xr:uid="{00000000-0005-0000-0000-000021EE0000}"/>
    <cellStyle name="Связанная ячейка 90" xfId="60894" xr:uid="{00000000-0005-0000-0000-000022EE0000}"/>
    <cellStyle name="Связанная ячейка 91" xfId="60895" xr:uid="{00000000-0005-0000-0000-000023EE0000}"/>
    <cellStyle name="Связанная ячейка 92" xfId="60896" xr:uid="{00000000-0005-0000-0000-000024EE0000}"/>
    <cellStyle name="Связанная ячейка 93" xfId="60897" xr:uid="{00000000-0005-0000-0000-000025EE0000}"/>
    <cellStyle name="Связанная ячейка 94" xfId="60898" xr:uid="{00000000-0005-0000-0000-000026EE0000}"/>
    <cellStyle name="Связанная ячейка 95" xfId="60899" xr:uid="{00000000-0005-0000-0000-000027EE0000}"/>
    <cellStyle name="Связанная ячейка 96" xfId="60900" xr:uid="{00000000-0005-0000-0000-000028EE0000}"/>
    <cellStyle name="Связанная ячейка 97" xfId="60901" xr:uid="{00000000-0005-0000-0000-000029EE0000}"/>
    <cellStyle name="Связанная ячейка 98" xfId="60902" xr:uid="{00000000-0005-0000-0000-00002AEE0000}"/>
    <cellStyle name="Связанная ячейка 99" xfId="60903" xr:uid="{00000000-0005-0000-0000-00002BEE0000}"/>
    <cellStyle name="Стиль 1" xfId="60904" xr:uid="{00000000-0005-0000-0000-00002CEE0000}"/>
    <cellStyle name="Текст предупреждения 10" xfId="60905" xr:uid="{00000000-0005-0000-0000-00002DEE0000}"/>
    <cellStyle name="Текст предупреждения 100" xfId="60906" xr:uid="{00000000-0005-0000-0000-00002EEE0000}"/>
    <cellStyle name="Текст предупреждения 101" xfId="60907" xr:uid="{00000000-0005-0000-0000-00002FEE0000}"/>
    <cellStyle name="Текст предупреждения 102" xfId="60908" xr:uid="{00000000-0005-0000-0000-000030EE0000}"/>
    <cellStyle name="Текст предупреждения 103" xfId="60909" xr:uid="{00000000-0005-0000-0000-000031EE0000}"/>
    <cellStyle name="Текст предупреждения 104" xfId="60910" xr:uid="{00000000-0005-0000-0000-000032EE0000}"/>
    <cellStyle name="Текст предупреждения 105" xfId="60911" xr:uid="{00000000-0005-0000-0000-000033EE0000}"/>
    <cellStyle name="Текст предупреждения 106" xfId="60912" xr:uid="{00000000-0005-0000-0000-000034EE0000}"/>
    <cellStyle name="Текст предупреждения 107" xfId="60913" xr:uid="{00000000-0005-0000-0000-000035EE0000}"/>
    <cellStyle name="Текст предупреждения 108" xfId="60914" xr:uid="{00000000-0005-0000-0000-000036EE0000}"/>
    <cellStyle name="Текст предупреждения 109" xfId="60915" xr:uid="{00000000-0005-0000-0000-000037EE0000}"/>
    <cellStyle name="Текст предупреждения 11" xfId="60916" xr:uid="{00000000-0005-0000-0000-000038EE0000}"/>
    <cellStyle name="Текст предупреждения 110" xfId="60917" xr:uid="{00000000-0005-0000-0000-000039EE0000}"/>
    <cellStyle name="Текст предупреждения 111" xfId="60918" xr:uid="{00000000-0005-0000-0000-00003AEE0000}"/>
    <cellStyle name="Текст предупреждения 112" xfId="60919" xr:uid="{00000000-0005-0000-0000-00003BEE0000}"/>
    <cellStyle name="Текст предупреждения 113" xfId="60920" xr:uid="{00000000-0005-0000-0000-00003CEE0000}"/>
    <cellStyle name="Текст предупреждения 114" xfId="60921" xr:uid="{00000000-0005-0000-0000-00003DEE0000}"/>
    <cellStyle name="Текст предупреждения 115" xfId="60922" xr:uid="{00000000-0005-0000-0000-00003EEE0000}"/>
    <cellStyle name="Текст предупреждения 116" xfId="60923" xr:uid="{00000000-0005-0000-0000-00003FEE0000}"/>
    <cellStyle name="Текст предупреждения 117" xfId="60924" xr:uid="{00000000-0005-0000-0000-000040EE0000}"/>
    <cellStyle name="Текст предупреждения 118" xfId="60925" xr:uid="{00000000-0005-0000-0000-000041EE0000}"/>
    <cellStyle name="Текст предупреждения 119" xfId="60926" xr:uid="{00000000-0005-0000-0000-000042EE0000}"/>
    <cellStyle name="Текст предупреждения 12" xfId="60927" xr:uid="{00000000-0005-0000-0000-000043EE0000}"/>
    <cellStyle name="Текст предупреждения 120" xfId="60928" xr:uid="{00000000-0005-0000-0000-000044EE0000}"/>
    <cellStyle name="Текст предупреждения 121" xfId="60929" xr:uid="{00000000-0005-0000-0000-000045EE0000}"/>
    <cellStyle name="Текст предупреждения 122" xfId="60930" xr:uid="{00000000-0005-0000-0000-000046EE0000}"/>
    <cellStyle name="Текст предупреждения 123" xfId="60931" xr:uid="{00000000-0005-0000-0000-000047EE0000}"/>
    <cellStyle name="Текст предупреждения 124" xfId="60932" xr:uid="{00000000-0005-0000-0000-000048EE0000}"/>
    <cellStyle name="Текст предупреждения 125" xfId="60933" xr:uid="{00000000-0005-0000-0000-000049EE0000}"/>
    <cellStyle name="Текст предупреждения 126" xfId="60934" xr:uid="{00000000-0005-0000-0000-00004AEE0000}"/>
    <cellStyle name="Текст предупреждения 127" xfId="60935" xr:uid="{00000000-0005-0000-0000-00004BEE0000}"/>
    <cellStyle name="Текст предупреждения 128" xfId="60936" xr:uid="{00000000-0005-0000-0000-00004CEE0000}"/>
    <cellStyle name="Текст предупреждения 129" xfId="60937" xr:uid="{00000000-0005-0000-0000-00004DEE0000}"/>
    <cellStyle name="Текст предупреждения 13" xfId="60938" xr:uid="{00000000-0005-0000-0000-00004EEE0000}"/>
    <cellStyle name="Текст предупреждения 130" xfId="60939" xr:uid="{00000000-0005-0000-0000-00004FEE0000}"/>
    <cellStyle name="Текст предупреждения 131" xfId="60940" xr:uid="{00000000-0005-0000-0000-000050EE0000}"/>
    <cellStyle name="Текст предупреждения 132" xfId="60941" xr:uid="{00000000-0005-0000-0000-000051EE0000}"/>
    <cellStyle name="Текст предупреждения 133" xfId="60942" xr:uid="{00000000-0005-0000-0000-000052EE0000}"/>
    <cellStyle name="Текст предупреждения 134" xfId="60943" xr:uid="{00000000-0005-0000-0000-000053EE0000}"/>
    <cellStyle name="Текст предупреждения 135" xfId="60944" xr:uid="{00000000-0005-0000-0000-000054EE0000}"/>
    <cellStyle name="Текст предупреждения 136" xfId="60945" xr:uid="{00000000-0005-0000-0000-000055EE0000}"/>
    <cellStyle name="Текст предупреждения 137" xfId="60946" xr:uid="{00000000-0005-0000-0000-000056EE0000}"/>
    <cellStyle name="Текст предупреждения 138" xfId="60947" xr:uid="{00000000-0005-0000-0000-000057EE0000}"/>
    <cellStyle name="Текст предупреждения 139" xfId="60948" xr:uid="{00000000-0005-0000-0000-000058EE0000}"/>
    <cellStyle name="Текст предупреждения 14" xfId="60949" xr:uid="{00000000-0005-0000-0000-000059EE0000}"/>
    <cellStyle name="Текст предупреждения 140" xfId="60950" xr:uid="{00000000-0005-0000-0000-00005AEE0000}"/>
    <cellStyle name="Текст предупреждения 141" xfId="60951" xr:uid="{00000000-0005-0000-0000-00005BEE0000}"/>
    <cellStyle name="Текст предупреждения 142" xfId="60952" xr:uid="{00000000-0005-0000-0000-00005CEE0000}"/>
    <cellStyle name="Текст предупреждения 143" xfId="60953" xr:uid="{00000000-0005-0000-0000-00005DEE0000}"/>
    <cellStyle name="Текст предупреждения 144" xfId="60954" xr:uid="{00000000-0005-0000-0000-00005EEE0000}"/>
    <cellStyle name="Текст предупреждения 145" xfId="60955" xr:uid="{00000000-0005-0000-0000-00005FEE0000}"/>
    <cellStyle name="Текст предупреждения 146" xfId="60956" xr:uid="{00000000-0005-0000-0000-000060EE0000}"/>
    <cellStyle name="Текст предупреждения 147" xfId="60957" xr:uid="{00000000-0005-0000-0000-000061EE0000}"/>
    <cellStyle name="Текст предупреждения 148" xfId="60958" xr:uid="{00000000-0005-0000-0000-000062EE0000}"/>
    <cellStyle name="Текст предупреждения 149" xfId="60959" xr:uid="{00000000-0005-0000-0000-000063EE0000}"/>
    <cellStyle name="Текст предупреждения 15" xfId="60960" xr:uid="{00000000-0005-0000-0000-000064EE0000}"/>
    <cellStyle name="Текст предупреждения 150" xfId="60961" xr:uid="{00000000-0005-0000-0000-000065EE0000}"/>
    <cellStyle name="Текст предупреждения 151" xfId="60962" xr:uid="{00000000-0005-0000-0000-000066EE0000}"/>
    <cellStyle name="Текст предупреждения 152" xfId="60963" xr:uid="{00000000-0005-0000-0000-000067EE0000}"/>
    <cellStyle name="Текст предупреждения 153" xfId="60964" xr:uid="{00000000-0005-0000-0000-000068EE0000}"/>
    <cellStyle name="Текст предупреждения 16" xfId="60965" xr:uid="{00000000-0005-0000-0000-000069EE0000}"/>
    <cellStyle name="Текст предупреждения 17" xfId="60966" xr:uid="{00000000-0005-0000-0000-00006AEE0000}"/>
    <cellStyle name="Текст предупреждения 18" xfId="60967" xr:uid="{00000000-0005-0000-0000-00006BEE0000}"/>
    <cellStyle name="Текст предупреждения 19" xfId="60968" xr:uid="{00000000-0005-0000-0000-00006CEE0000}"/>
    <cellStyle name="Текст предупреждения 2" xfId="60969" xr:uid="{00000000-0005-0000-0000-00006DEE0000}"/>
    <cellStyle name="Текст предупреждения 2 2" xfId="60970" xr:uid="{00000000-0005-0000-0000-00006EEE0000}"/>
    <cellStyle name="Текст предупреждения 2 2 10" xfId="60971" xr:uid="{00000000-0005-0000-0000-00006FEE0000}"/>
    <cellStyle name="Текст предупреждения 2 2 11" xfId="60972" xr:uid="{00000000-0005-0000-0000-000070EE0000}"/>
    <cellStyle name="Текст предупреждения 2 2 12" xfId="60973" xr:uid="{00000000-0005-0000-0000-000071EE0000}"/>
    <cellStyle name="Текст предупреждения 2 2 13" xfId="60974" xr:uid="{00000000-0005-0000-0000-000072EE0000}"/>
    <cellStyle name="Текст предупреждения 2 2 2" xfId="60975" xr:uid="{00000000-0005-0000-0000-000073EE0000}"/>
    <cellStyle name="Текст предупреждения 2 2 3" xfId="60976" xr:uid="{00000000-0005-0000-0000-000074EE0000}"/>
    <cellStyle name="Текст предупреждения 2 2 4" xfId="60977" xr:uid="{00000000-0005-0000-0000-000075EE0000}"/>
    <cellStyle name="Текст предупреждения 2 2 5" xfId="60978" xr:uid="{00000000-0005-0000-0000-000076EE0000}"/>
    <cellStyle name="Текст предупреждения 2 2 6" xfId="60979" xr:uid="{00000000-0005-0000-0000-000077EE0000}"/>
    <cellStyle name="Текст предупреждения 2 2 7" xfId="60980" xr:uid="{00000000-0005-0000-0000-000078EE0000}"/>
    <cellStyle name="Текст предупреждения 2 2 8" xfId="60981" xr:uid="{00000000-0005-0000-0000-000079EE0000}"/>
    <cellStyle name="Текст предупреждения 2 2 9" xfId="60982" xr:uid="{00000000-0005-0000-0000-00007AEE0000}"/>
    <cellStyle name="Текст предупреждения 2 3" xfId="60983" xr:uid="{00000000-0005-0000-0000-00007BEE0000}"/>
    <cellStyle name="Текст предупреждения 20" xfId="60984" xr:uid="{00000000-0005-0000-0000-00007CEE0000}"/>
    <cellStyle name="Текст предупреждения 21" xfId="60985" xr:uid="{00000000-0005-0000-0000-00007DEE0000}"/>
    <cellStyle name="Текст предупреждения 22" xfId="60986" xr:uid="{00000000-0005-0000-0000-00007EEE0000}"/>
    <cellStyle name="Текст предупреждения 23" xfId="60987" xr:uid="{00000000-0005-0000-0000-00007FEE0000}"/>
    <cellStyle name="Текст предупреждения 24" xfId="60988" xr:uid="{00000000-0005-0000-0000-000080EE0000}"/>
    <cellStyle name="Текст предупреждения 25" xfId="60989" xr:uid="{00000000-0005-0000-0000-000081EE0000}"/>
    <cellStyle name="Текст предупреждения 26" xfId="60990" xr:uid="{00000000-0005-0000-0000-000082EE0000}"/>
    <cellStyle name="Текст предупреждения 27" xfId="60991" xr:uid="{00000000-0005-0000-0000-000083EE0000}"/>
    <cellStyle name="Текст предупреждения 28" xfId="60992" xr:uid="{00000000-0005-0000-0000-000084EE0000}"/>
    <cellStyle name="Текст предупреждения 29" xfId="60993" xr:uid="{00000000-0005-0000-0000-000085EE0000}"/>
    <cellStyle name="Текст предупреждения 3" xfId="60994" xr:uid="{00000000-0005-0000-0000-000086EE0000}"/>
    <cellStyle name="Текст предупреждения 30" xfId="60995" xr:uid="{00000000-0005-0000-0000-000087EE0000}"/>
    <cellStyle name="Текст предупреждения 31" xfId="60996" xr:uid="{00000000-0005-0000-0000-000088EE0000}"/>
    <cellStyle name="Текст предупреждения 32" xfId="60997" xr:uid="{00000000-0005-0000-0000-000089EE0000}"/>
    <cellStyle name="Текст предупреждения 33" xfId="60998" xr:uid="{00000000-0005-0000-0000-00008AEE0000}"/>
    <cellStyle name="Текст предупреждения 34" xfId="60999" xr:uid="{00000000-0005-0000-0000-00008BEE0000}"/>
    <cellStyle name="Текст предупреждения 35" xfId="61000" xr:uid="{00000000-0005-0000-0000-00008CEE0000}"/>
    <cellStyle name="Текст предупреждения 36" xfId="61001" xr:uid="{00000000-0005-0000-0000-00008DEE0000}"/>
    <cellStyle name="Текст предупреждения 37" xfId="61002" xr:uid="{00000000-0005-0000-0000-00008EEE0000}"/>
    <cellStyle name="Текст предупреждения 38" xfId="61003" xr:uid="{00000000-0005-0000-0000-00008FEE0000}"/>
    <cellStyle name="Текст предупреждения 39" xfId="61004" xr:uid="{00000000-0005-0000-0000-000090EE0000}"/>
    <cellStyle name="Текст предупреждения 4" xfId="61005" xr:uid="{00000000-0005-0000-0000-000091EE0000}"/>
    <cellStyle name="Текст предупреждения 40" xfId="61006" xr:uid="{00000000-0005-0000-0000-000092EE0000}"/>
    <cellStyle name="Текст предупреждения 41" xfId="61007" xr:uid="{00000000-0005-0000-0000-000093EE0000}"/>
    <cellStyle name="Текст предупреждения 42" xfId="61008" xr:uid="{00000000-0005-0000-0000-000094EE0000}"/>
    <cellStyle name="Текст предупреждения 43" xfId="61009" xr:uid="{00000000-0005-0000-0000-000095EE0000}"/>
    <cellStyle name="Текст предупреждения 44" xfId="61010" xr:uid="{00000000-0005-0000-0000-000096EE0000}"/>
    <cellStyle name="Текст предупреждения 45" xfId="61011" xr:uid="{00000000-0005-0000-0000-000097EE0000}"/>
    <cellStyle name="Текст предупреждения 46" xfId="61012" xr:uid="{00000000-0005-0000-0000-000098EE0000}"/>
    <cellStyle name="Текст предупреждения 47" xfId="61013" xr:uid="{00000000-0005-0000-0000-000099EE0000}"/>
    <cellStyle name="Текст предупреждения 48" xfId="61014" xr:uid="{00000000-0005-0000-0000-00009AEE0000}"/>
    <cellStyle name="Текст предупреждения 49" xfId="61015" xr:uid="{00000000-0005-0000-0000-00009BEE0000}"/>
    <cellStyle name="Текст предупреждения 5" xfId="61016" xr:uid="{00000000-0005-0000-0000-00009CEE0000}"/>
    <cellStyle name="Текст предупреждения 50" xfId="61017" xr:uid="{00000000-0005-0000-0000-00009DEE0000}"/>
    <cellStyle name="Текст предупреждения 51" xfId="61018" xr:uid="{00000000-0005-0000-0000-00009EEE0000}"/>
    <cellStyle name="Текст предупреждения 52" xfId="61019" xr:uid="{00000000-0005-0000-0000-00009FEE0000}"/>
    <cellStyle name="Текст предупреждения 53" xfId="61020" xr:uid="{00000000-0005-0000-0000-0000A0EE0000}"/>
    <cellStyle name="Текст предупреждения 54" xfId="61021" xr:uid="{00000000-0005-0000-0000-0000A1EE0000}"/>
    <cellStyle name="Текст предупреждения 55" xfId="61022" xr:uid="{00000000-0005-0000-0000-0000A2EE0000}"/>
    <cellStyle name="Текст предупреждения 56" xfId="61023" xr:uid="{00000000-0005-0000-0000-0000A3EE0000}"/>
    <cellStyle name="Текст предупреждения 57" xfId="61024" xr:uid="{00000000-0005-0000-0000-0000A4EE0000}"/>
    <cellStyle name="Текст предупреждения 58" xfId="61025" xr:uid="{00000000-0005-0000-0000-0000A5EE0000}"/>
    <cellStyle name="Текст предупреждения 59" xfId="61026" xr:uid="{00000000-0005-0000-0000-0000A6EE0000}"/>
    <cellStyle name="Текст предупреждения 6" xfId="61027" xr:uid="{00000000-0005-0000-0000-0000A7EE0000}"/>
    <cellStyle name="Текст предупреждения 60" xfId="61028" xr:uid="{00000000-0005-0000-0000-0000A8EE0000}"/>
    <cellStyle name="Текст предупреждения 61" xfId="61029" xr:uid="{00000000-0005-0000-0000-0000A9EE0000}"/>
    <cellStyle name="Текст предупреждения 62" xfId="61030" xr:uid="{00000000-0005-0000-0000-0000AAEE0000}"/>
    <cellStyle name="Текст предупреждения 63" xfId="61031" xr:uid="{00000000-0005-0000-0000-0000ABEE0000}"/>
    <cellStyle name="Текст предупреждения 64" xfId="61032" xr:uid="{00000000-0005-0000-0000-0000ACEE0000}"/>
    <cellStyle name="Текст предупреждения 65" xfId="61033" xr:uid="{00000000-0005-0000-0000-0000ADEE0000}"/>
    <cellStyle name="Текст предупреждения 66" xfId="61034" xr:uid="{00000000-0005-0000-0000-0000AEEE0000}"/>
    <cellStyle name="Текст предупреждения 67" xfId="61035" xr:uid="{00000000-0005-0000-0000-0000AFEE0000}"/>
    <cellStyle name="Текст предупреждения 68" xfId="61036" xr:uid="{00000000-0005-0000-0000-0000B0EE0000}"/>
    <cellStyle name="Текст предупреждения 69" xfId="61037" xr:uid="{00000000-0005-0000-0000-0000B1EE0000}"/>
    <cellStyle name="Текст предупреждения 7" xfId="61038" xr:uid="{00000000-0005-0000-0000-0000B2EE0000}"/>
    <cellStyle name="Текст предупреждения 70" xfId="61039" xr:uid="{00000000-0005-0000-0000-0000B3EE0000}"/>
    <cellStyle name="Текст предупреждения 71" xfId="61040" xr:uid="{00000000-0005-0000-0000-0000B4EE0000}"/>
    <cellStyle name="Текст предупреждения 72" xfId="61041" xr:uid="{00000000-0005-0000-0000-0000B5EE0000}"/>
    <cellStyle name="Текст предупреждения 73" xfId="61042" xr:uid="{00000000-0005-0000-0000-0000B6EE0000}"/>
    <cellStyle name="Текст предупреждения 74" xfId="61043" xr:uid="{00000000-0005-0000-0000-0000B7EE0000}"/>
    <cellStyle name="Текст предупреждения 75" xfId="61044" xr:uid="{00000000-0005-0000-0000-0000B8EE0000}"/>
    <cellStyle name="Текст предупреждения 76" xfId="61045" xr:uid="{00000000-0005-0000-0000-0000B9EE0000}"/>
    <cellStyle name="Текст предупреждения 77" xfId="61046" xr:uid="{00000000-0005-0000-0000-0000BAEE0000}"/>
    <cellStyle name="Текст предупреждения 78" xfId="61047" xr:uid="{00000000-0005-0000-0000-0000BBEE0000}"/>
    <cellStyle name="Текст предупреждения 79" xfId="61048" xr:uid="{00000000-0005-0000-0000-0000BCEE0000}"/>
    <cellStyle name="Текст предупреждения 8" xfId="61049" xr:uid="{00000000-0005-0000-0000-0000BDEE0000}"/>
    <cellStyle name="Текст предупреждения 80" xfId="61050" xr:uid="{00000000-0005-0000-0000-0000BEEE0000}"/>
    <cellStyle name="Текст предупреждения 81" xfId="61051" xr:uid="{00000000-0005-0000-0000-0000BFEE0000}"/>
    <cellStyle name="Текст предупреждения 82" xfId="61052" xr:uid="{00000000-0005-0000-0000-0000C0EE0000}"/>
    <cellStyle name="Текст предупреждения 83" xfId="61053" xr:uid="{00000000-0005-0000-0000-0000C1EE0000}"/>
    <cellStyle name="Текст предупреждения 84" xfId="61054" xr:uid="{00000000-0005-0000-0000-0000C2EE0000}"/>
    <cellStyle name="Текст предупреждения 85" xfId="61055" xr:uid="{00000000-0005-0000-0000-0000C3EE0000}"/>
    <cellStyle name="Текст предупреждения 86" xfId="61056" xr:uid="{00000000-0005-0000-0000-0000C4EE0000}"/>
    <cellStyle name="Текст предупреждения 87" xfId="61057" xr:uid="{00000000-0005-0000-0000-0000C5EE0000}"/>
    <cellStyle name="Текст предупреждения 88" xfId="61058" xr:uid="{00000000-0005-0000-0000-0000C6EE0000}"/>
    <cellStyle name="Текст предупреждения 89" xfId="61059" xr:uid="{00000000-0005-0000-0000-0000C7EE0000}"/>
    <cellStyle name="Текст предупреждения 9" xfId="61060" xr:uid="{00000000-0005-0000-0000-0000C8EE0000}"/>
    <cellStyle name="Текст предупреждения 90" xfId="61061" xr:uid="{00000000-0005-0000-0000-0000C9EE0000}"/>
    <cellStyle name="Текст предупреждения 91" xfId="61062" xr:uid="{00000000-0005-0000-0000-0000CAEE0000}"/>
    <cellStyle name="Текст предупреждения 92" xfId="61063" xr:uid="{00000000-0005-0000-0000-0000CBEE0000}"/>
    <cellStyle name="Текст предупреждения 93" xfId="61064" xr:uid="{00000000-0005-0000-0000-0000CCEE0000}"/>
    <cellStyle name="Текст предупреждения 94" xfId="61065" xr:uid="{00000000-0005-0000-0000-0000CDEE0000}"/>
    <cellStyle name="Текст предупреждения 95" xfId="61066" xr:uid="{00000000-0005-0000-0000-0000CEEE0000}"/>
    <cellStyle name="Текст предупреждения 96" xfId="61067" xr:uid="{00000000-0005-0000-0000-0000CFEE0000}"/>
    <cellStyle name="Текст предупреждения 97" xfId="61068" xr:uid="{00000000-0005-0000-0000-0000D0EE0000}"/>
    <cellStyle name="Текст предупреждения 98" xfId="61069" xr:uid="{00000000-0005-0000-0000-0000D1EE0000}"/>
    <cellStyle name="Текст предупреждения 99" xfId="61070" xr:uid="{00000000-0005-0000-0000-0000D2EE0000}"/>
    <cellStyle name="Финансовый 10" xfId="61071" xr:uid="{00000000-0005-0000-0000-0000D3EE0000}"/>
    <cellStyle name="Финансовый 11" xfId="61072" xr:uid="{00000000-0005-0000-0000-0000D4EE0000}"/>
    <cellStyle name="Финансовый 11 2" xfId="61073" xr:uid="{00000000-0005-0000-0000-0000D5EE0000}"/>
    <cellStyle name="Финансовый 12" xfId="61074" xr:uid="{00000000-0005-0000-0000-0000D6EE0000}"/>
    <cellStyle name="Финансовый 13" xfId="61075" xr:uid="{00000000-0005-0000-0000-0000D7EE0000}"/>
    <cellStyle name="Финансовый 14" xfId="61309" xr:uid="{00000000-0005-0000-0000-0000D8EE0000}"/>
    <cellStyle name="Финансовый 2" xfId="61076" xr:uid="{00000000-0005-0000-0000-0000D9EE0000}"/>
    <cellStyle name="Финансовый 2 10" xfId="61077" xr:uid="{00000000-0005-0000-0000-0000DAEE0000}"/>
    <cellStyle name="Финансовый 2 11" xfId="61078" xr:uid="{00000000-0005-0000-0000-0000DBEE0000}"/>
    <cellStyle name="Финансовый 2 12" xfId="61079" xr:uid="{00000000-0005-0000-0000-0000DCEE0000}"/>
    <cellStyle name="Финансовый 2 13" xfId="61080" xr:uid="{00000000-0005-0000-0000-0000DDEE0000}"/>
    <cellStyle name="Финансовый 2 14" xfId="61081" xr:uid="{00000000-0005-0000-0000-0000DEEE0000}"/>
    <cellStyle name="Финансовый 2 15" xfId="61082" xr:uid="{00000000-0005-0000-0000-0000DFEE0000}"/>
    <cellStyle name="Финансовый 2 16" xfId="61083" xr:uid="{00000000-0005-0000-0000-0000E0EE0000}"/>
    <cellStyle name="Финансовый 2 17" xfId="61084" xr:uid="{00000000-0005-0000-0000-0000E1EE0000}"/>
    <cellStyle name="Финансовый 2 18" xfId="61085" xr:uid="{00000000-0005-0000-0000-0000E2EE0000}"/>
    <cellStyle name="Финансовый 2 2" xfId="61086" xr:uid="{00000000-0005-0000-0000-0000E3EE0000}"/>
    <cellStyle name="Финансовый 2 2 2" xfId="61087" xr:uid="{00000000-0005-0000-0000-0000E4EE0000}"/>
    <cellStyle name="Финансовый 2 2 2 2" xfId="61088" xr:uid="{00000000-0005-0000-0000-0000E5EE0000}"/>
    <cellStyle name="Финансовый 2 2 3" xfId="61089" xr:uid="{00000000-0005-0000-0000-0000E6EE0000}"/>
    <cellStyle name="Финансовый 2 3" xfId="61090" xr:uid="{00000000-0005-0000-0000-0000E7EE0000}"/>
    <cellStyle name="Финансовый 2 3 2" xfId="61091" xr:uid="{00000000-0005-0000-0000-0000E8EE0000}"/>
    <cellStyle name="Финансовый 2 3 2 2" xfId="61092" xr:uid="{00000000-0005-0000-0000-0000E9EE0000}"/>
    <cellStyle name="Финансовый 2 3 3" xfId="61093" xr:uid="{00000000-0005-0000-0000-0000EAEE0000}"/>
    <cellStyle name="Финансовый 2 4" xfId="61094" xr:uid="{00000000-0005-0000-0000-0000EBEE0000}"/>
    <cellStyle name="Финансовый 2 4 2" xfId="61095" xr:uid="{00000000-0005-0000-0000-0000ECEE0000}"/>
    <cellStyle name="Финансовый 2 4 2 2" xfId="61096" xr:uid="{00000000-0005-0000-0000-0000EDEE0000}"/>
    <cellStyle name="Финансовый 2 4 3" xfId="61097" xr:uid="{00000000-0005-0000-0000-0000EEEE0000}"/>
    <cellStyle name="Финансовый 2 5" xfId="61098" xr:uid="{00000000-0005-0000-0000-0000EFEE0000}"/>
    <cellStyle name="Финансовый 2 5 2" xfId="61099" xr:uid="{00000000-0005-0000-0000-0000F0EE0000}"/>
    <cellStyle name="Финансовый 2 6" xfId="61100" xr:uid="{00000000-0005-0000-0000-0000F1EE0000}"/>
    <cellStyle name="Финансовый 2 6 2" xfId="61101" xr:uid="{00000000-0005-0000-0000-0000F2EE0000}"/>
    <cellStyle name="Финансовый 2 7" xfId="61102" xr:uid="{00000000-0005-0000-0000-0000F3EE0000}"/>
    <cellStyle name="Финансовый 2 7 2" xfId="61103" xr:uid="{00000000-0005-0000-0000-0000F4EE0000}"/>
    <cellStyle name="Финансовый 2 8" xfId="61104" xr:uid="{00000000-0005-0000-0000-0000F5EE0000}"/>
    <cellStyle name="Финансовый 2 9" xfId="61105" xr:uid="{00000000-0005-0000-0000-0000F6EE0000}"/>
    <cellStyle name="Финансовый 3" xfId="61106" xr:uid="{00000000-0005-0000-0000-0000F7EE0000}"/>
    <cellStyle name="Финансовый 3 2" xfId="61107" xr:uid="{00000000-0005-0000-0000-0000F8EE0000}"/>
    <cellStyle name="Финансовый 3 2 2" xfId="61108" xr:uid="{00000000-0005-0000-0000-0000F9EE0000}"/>
    <cellStyle name="Финансовый 3 3" xfId="61109" xr:uid="{00000000-0005-0000-0000-0000FAEE0000}"/>
    <cellStyle name="Финансовый 3 4" xfId="61110" xr:uid="{00000000-0005-0000-0000-0000FBEE0000}"/>
    <cellStyle name="Финансовый 3 5" xfId="61111" xr:uid="{00000000-0005-0000-0000-0000FCEE0000}"/>
    <cellStyle name="Финансовый 3 6" xfId="61112" xr:uid="{00000000-0005-0000-0000-0000FDEE0000}"/>
    <cellStyle name="Финансовый 3 7" xfId="61113" xr:uid="{00000000-0005-0000-0000-0000FEEE0000}"/>
    <cellStyle name="Финансовый 3 8" xfId="61114" xr:uid="{00000000-0005-0000-0000-0000FFEE0000}"/>
    <cellStyle name="Финансовый 3 9" xfId="61115" xr:uid="{00000000-0005-0000-0000-000000EF0000}"/>
    <cellStyle name="Финансовый 4" xfId="61116" xr:uid="{00000000-0005-0000-0000-000001EF0000}"/>
    <cellStyle name="Финансовый 4 2" xfId="61117" xr:uid="{00000000-0005-0000-0000-000002EF0000}"/>
    <cellStyle name="Финансовый 4 3" xfId="61118" xr:uid="{00000000-0005-0000-0000-000003EF0000}"/>
    <cellStyle name="Финансовый 5" xfId="61119" xr:uid="{00000000-0005-0000-0000-000004EF0000}"/>
    <cellStyle name="Финансовый 5 2" xfId="61120" xr:uid="{00000000-0005-0000-0000-000005EF0000}"/>
    <cellStyle name="Финансовый 5 3" xfId="61121" xr:uid="{00000000-0005-0000-0000-000006EF0000}"/>
    <cellStyle name="Финансовый 6" xfId="61122" xr:uid="{00000000-0005-0000-0000-000007EF0000}"/>
    <cellStyle name="Финансовый 6 2" xfId="61123" xr:uid="{00000000-0005-0000-0000-000008EF0000}"/>
    <cellStyle name="Финансовый 7" xfId="61124" xr:uid="{00000000-0005-0000-0000-000009EF0000}"/>
    <cellStyle name="Финансовый 8" xfId="61125" xr:uid="{00000000-0005-0000-0000-00000AEF0000}"/>
    <cellStyle name="Финансовый 9" xfId="61126" xr:uid="{00000000-0005-0000-0000-00000BEF0000}"/>
    <cellStyle name="Хороший 10" xfId="61127" xr:uid="{00000000-0005-0000-0000-00000CEF0000}"/>
    <cellStyle name="Хороший 100" xfId="61128" xr:uid="{00000000-0005-0000-0000-00000DEF0000}"/>
    <cellStyle name="Хороший 101" xfId="61129" xr:uid="{00000000-0005-0000-0000-00000EEF0000}"/>
    <cellStyle name="Хороший 102" xfId="61130" xr:uid="{00000000-0005-0000-0000-00000FEF0000}"/>
    <cellStyle name="Хороший 103" xfId="61131" xr:uid="{00000000-0005-0000-0000-000010EF0000}"/>
    <cellStyle name="Хороший 104" xfId="61132" xr:uid="{00000000-0005-0000-0000-000011EF0000}"/>
    <cellStyle name="Хороший 105" xfId="61133" xr:uid="{00000000-0005-0000-0000-000012EF0000}"/>
    <cellStyle name="Хороший 106" xfId="61134" xr:uid="{00000000-0005-0000-0000-000013EF0000}"/>
    <cellStyle name="Хороший 107" xfId="61135" xr:uid="{00000000-0005-0000-0000-000014EF0000}"/>
    <cellStyle name="Хороший 108" xfId="61136" xr:uid="{00000000-0005-0000-0000-000015EF0000}"/>
    <cellStyle name="Хороший 109" xfId="61137" xr:uid="{00000000-0005-0000-0000-000016EF0000}"/>
    <cellStyle name="Хороший 11" xfId="61138" xr:uid="{00000000-0005-0000-0000-000017EF0000}"/>
    <cellStyle name="Хороший 110" xfId="61139" xr:uid="{00000000-0005-0000-0000-000018EF0000}"/>
    <cellStyle name="Хороший 111" xfId="61140" xr:uid="{00000000-0005-0000-0000-000019EF0000}"/>
    <cellStyle name="Хороший 112" xfId="61141" xr:uid="{00000000-0005-0000-0000-00001AEF0000}"/>
    <cellStyle name="Хороший 113" xfId="61142" xr:uid="{00000000-0005-0000-0000-00001BEF0000}"/>
    <cellStyle name="Хороший 114" xfId="61143" xr:uid="{00000000-0005-0000-0000-00001CEF0000}"/>
    <cellStyle name="Хороший 115" xfId="61144" xr:uid="{00000000-0005-0000-0000-00001DEF0000}"/>
    <cellStyle name="Хороший 116" xfId="61145" xr:uid="{00000000-0005-0000-0000-00001EEF0000}"/>
    <cellStyle name="Хороший 117" xfId="61146" xr:uid="{00000000-0005-0000-0000-00001FEF0000}"/>
    <cellStyle name="Хороший 118" xfId="61147" xr:uid="{00000000-0005-0000-0000-000020EF0000}"/>
    <cellStyle name="Хороший 119" xfId="61148" xr:uid="{00000000-0005-0000-0000-000021EF0000}"/>
    <cellStyle name="Хороший 12" xfId="61149" xr:uid="{00000000-0005-0000-0000-000022EF0000}"/>
    <cellStyle name="Хороший 120" xfId="61150" xr:uid="{00000000-0005-0000-0000-000023EF0000}"/>
    <cellStyle name="Хороший 121" xfId="61151" xr:uid="{00000000-0005-0000-0000-000024EF0000}"/>
    <cellStyle name="Хороший 122" xfId="61152" xr:uid="{00000000-0005-0000-0000-000025EF0000}"/>
    <cellStyle name="Хороший 123" xfId="61153" xr:uid="{00000000-0005-0000-0000-000026EF0000}"/>
    <cellStyle name="Хороший 124" xfId="61154" xr:uid="{00000000-0005-0000-0000-000027EF0000}"/>
    <cellStyle name="Хороший 125" xfId="61155" xr:uid="{00000000-0005-0000-0000-000028EF0000}"/>
    <cellStyle name="Хороший 126" xfId="61156" xr:uid="{00000000-0005-0000-0000-000029EF0000}"/>
    <cellStyle name="Хороший 127" xfId="61157" xr:uid="{00000000-0005-0000-0000-00002AEF0000}"/>
    <cellStyle name="Хороший 128" xfId="61158" xr:uid="{00000000-0005-0000-0000-00002BEF0000}"/>
    <cellStyle name="Хороший 129" xfId="61159" xr:uid="{00000000-0005-0000-0000-00002CEF0000}"/>
    <cellStyle name="Хороший 13" xfId="61160" xr:uid="{00000000-0005-0000-0000-00002DEF0000}"/>
    <cellStyle name="Хороший 130" xfId="61161" xr:uid="{00000000-0005-0000-0000-00002EEF0000}"/>
    <cellStyle name="Хороший 131" xfId="61162" xr:uid="{00000000-0005-0000-0000-00002FEF0000}"/>
    <cellStyle name="Хороший 132" xfId="61163" xr:uid="{00000000-0005-0000-0000-000030EF0000}"/>
    <cellStyle name="Хороший 133" xfId="61164" xr:uid="{00000000-0005-0000-0000-000031EF0000}"/>
    <cellStyle name="Хороший 134" xfId="61165" xr:uid="{00000000-0005-0000-0000-000032EF0000}"/>
    <cellStyle name="Хороший 135" xfId="61166" xr:uid="{00000000-0005-0000-0000-000033EF0000}"/>
    <cellStyle name="Хороший 136" xfId="61167" xr:uid="{00000000-0005-0000-0000-000034EF0000}"/>
    <cellStyle name="Хороший 137" xfId="61168" xr:uid="{00000000-0005-0000-0000-000035EF0000}"/>
    <cellStyle name="Хороший 138" xfId="61169" xr:uid="{00000000-0005-0000-0000-000036EF0000}"/>
    <cellStyle name="Хороший 139" xfId="61170" xr:uid="{00000000-0005-0000-0000-000037EF0000}"/>
    <cellStyle name="Хороший 14" xfId="61171" xr:uid="{00000000-0005-0000-0000-000038EF0000}"/>
    <cellStyle name="Хороший 140" xfId="61172" xr:uid="{00000000-0005-0000-0000-000039EF0000}"/>
    <cellStyle name="Хороший 141" xfId="61173" xr:uid="{00000000-0005-0000-0000-00003AEF0000}"/>
    <cellStyle name="Хороший 142" xfId="61174" xr:uid="{00000000-0005-0000-0000-00003BEF0000}"/>
    <cellStyle name="Хороший 143" xfId="61175" xr:uid="{00000000-0005-0000-0000-00003CEF0000}"/>
    <cellStyle name="Хороший 144" xfId="61176" xr:uid="{00000000-0005-0000-0000-00003DEF0000}"/>
    <cellStyle name="Хороший 145" xfId="61177" xr:uid="{00000000-0005-0000-0000-00003EEF0000}"/>
    <cellStyle name="Хороший 146" xfId="61178" xr:uid="{00000000-0005-0000-0000-00003FEF0000}"/>
    <cellStyle name="Хороший 147" xfId="61179" xr:uid="{00000000-0005-0000-0000-000040EF0000}"/>
    <cellStyle name="Хороший 148" xfId="61180" xr:uid="{00000000-0005-0000-0000-000041EF0000}"/>
    <cellStyle name="Хороший 149" xfId="61181" xr:uid="{00000000-0005-0000-0000-000042EF0000}"/>
    <cellStyle name="Хороший 15" xfId="61182" xr:uid="{00000000-0005-0000-0000-000043EF0000}"/>
    <cellStyle name="Хороший 150" xfId="61183" xr:uid="{00000000-0005-0000-0000-000044EF0000}"/>
    <cellStyle name="Хороший 151" xfId="61184" xr:uid="{00000000-0005-0000-0000-000045EF0000}"/>
    <cellStyle name="Хороший 152" xfId="61185" xr:uid="{00000000-0005-0000-0000-000046EF0000}"/>
    <cellStyle name="Хороший 153" xfId="61186" xr:uid="{00000000-0005-0000-0000-000047EF0000}"/>
    <cellStyle name="Хороший 16" xfId="61187" xr:uid="{00000000-0005-0000-0000-000048EF0000}"/>
    <cellStyle name="Хороший 17" xfId="61188" xr:uid="{00000000-0005-0000-0000-000049EF0000}"/>
    <cellStyle name="Хороший 18" xfId="61189" xr:uid="{00000000-0005-0000-0000-00004AEF0000}"/>
    <cellStyle name="Хороший 19" xfId="61190" xr:uid="{00000000-0005-0000-0000-00004BEF0000}"/>
    <cellStyle name="Хороший 2" xfId="61191" xr:uid="{00000000-0005-0000-0000-00004CEF0000}"/>
    <cellStyle name="Хороший 2 2" xfId="61192" xr:uid="{00000000-0005-0000-0000-00004DEF0000}"/>
    <cellStyle name="Хороший 2 2 10" xfId="61193" xr:uid="{00000000-0005-0000-0000-00004EEF0000}"/>
    <cellStyle name="Хороший 2 2 11" xfId="61194" xr:uid="{00000000-0005-0000-0000-00004FEF0000}"/>
    <cellStyle name="Хороший 2 2 12" xfId="61195" xr:uid="{00000000-0005-0000-0000-000050EF0000}"/>
    <cellStyle name="Хороший 2 2 13" xfId="61196" xr:uid="{00000000-0005-0000-0000-000051EF0000}"/>
    <cellStyle name="Хороший 2 2 2" xfId="61197" xr:uid="{00000000-0005-0000-0000-000052EF0000}"/>
    <cellStyle name="Хороший 2 2 3" xfId="61198" xr:uid="{00000000-0005-0000-0000-000053EF0000}"/>
    <cellStyle name="Хороший 2 2 4" xfId="61199" xr:uid="{00000000-0005-0000-0000-000054EF0000}"/>
    <cellStyle name="Хороший 2 2 5" xfId="61200" xr:uid="{00000000-0005-0000-0000-000055EF0000}"/>
    <cellStyle name="Хороший 2 2 6" xfId="61201" xr:uid="{00000000-0005-0000-0000-000056EF0000}"/>
    <cellStyle name="Хороший 2 2 7" xfId="61202" xr:uid="{00000000-0005-0000-0000-000057EF0000}"/>
    <cellStyle name="Хороший 2 2 8" xfId="61203" xr:uid="{00000000-0005-0000-0000-000058EF0000}"/>
    <cellStyle name="Хороший 2 2 9" xfId="61204" xr:uid="{00000000-0005-0000-0000-000059EF0000}"/>
    <cellStyle name="Хороший 2 3" xfId="61205" xr:uid="{00000000-0005-0000-0000-00005AEF0000}"/>
    <cellStyle name="Хороший 20" xfId="61206" xr:uid="{00000000-0005-0000-0000-00005BEF0000}"/>
    <cellStyle name="Хороший 21" xfId="61207" xr:uid="{00000000-0005-0000-0000-00005CEF0000}"/>
    <cellStyle name="Хороший 22" xfId="61208" xr:uid="{00000000-0005-0000-0000-00005DEF0000}"/>
    <cellStyle name="Хороший 23" xfId="61209" xr:uid="{00000000-0005-0000-0000-00005EEF0000}"/>
    <cellStyle name="Хороший 24" xfId="61210" xr:uid="{00000000-0005-0000-0000-00005FEF0000}"/>
    <cellStyle name="Хороший 25" xfId="61211" xr:uid="{00000000-0005-0000-0000-000060EF0000}"/>
    <cellStyle name="Хороший 26" xfId="61212" xr:uid="{00000000-0005-0000-0000-000061EF0000}"/>
    <cellStyle name="Хороший 27" xfId="61213" xr:uid="{00000000-0005-0000-0000-000062EF0000}"/>
    <cellStyle name="Хороший 28" xfId="61214" xr:uid="{00000000-0005-0000-0000-000063EF0000}"/>
    <cellStyle name="Хороший 29" xfId="61215" xr:uid="{00000000-0005-0000-0000-000064EF0000}"/>
    <cellStyle name="Хороший 3" xfId="61216" xr:uid="{00000000-0005-0000-0000-000065EF0000}"/>
    <cellStyle name="Хороший 30" xfId="61217" xr:uid="{00000000-0005-0000-0000-000066EF0000}"/>
    <cellStyle name="Хороший 31" xfId="61218" xr:uid="{00000000-0005-0000-0000-000067EF0000}"/>
    <cellStyle name="Хороший 32" xfId="61219" xr:uid="{00000000-0005-0000-0000-000068EF0000}"/>
    <cellStyle name="Хороший 33" xfId="61220" xr:uid="{00000000-0005-0000-0000-000069EF0000}"/>
    <cellStyle name="Хороший 34" xfId="61221" xr:uid="{00000000-0005-0000-0000-00006AEF0000}"/>
    <cellStyle name="Хороший 35" xfId="61222" xr:uid="{00000000-0005-0000-0000-00006BEF0000}"/>
    <cellStyle name="Хороший 36" xfId="61223" xr:uid="{00000000-0005-0000-0000-00006CEF0000}"/>
    <cellStyle name="Хороший 37" xfId="61224" xr:uid="{00000000-0005-0000-0000-00006DEF0000}"/>
    <cellStyle name="Хороший 38" xfId="61225" xr:uid="{00000000-0005-0000-0000-00006EEF0000}"/>
    <cellStyle name="Хороший 39" xfId="61226" xr:uid="{00000000-0005-0000-0000-00006FEF0000}"/>
    <cellStyle name="Хороший 4" xfId="61227" xr:uid="{00000000-0005-0000-0000-000070EF0000}"/>
    <cellStyle name="Хороший 40" xfId="61228" xr:uid="{00000000-0005-0000-0000-000071EF0000}"/>
    <cellStyle name="Хороший 41" xfId="61229" xr:uid="{00000000-0005-0000-0000-000072EF0000}"/>
    <cellStyle name="Хороший 42" xfId="61230" xr:uid="{00000000-0005-0000-0000-000073EF0000}"/>
    <cellStyle name="Хороший 43" xfId="61231" xr:uid="{00000000-0005-0000-0000-000074EF0000}"/>
    <cellStyle name="Хороший 44" xfId="61232" xr:uid="{00000000-0005-0000-0000-000075EF0000}"/>
    <cellStyle name="Хороший 45" xfId="61233" xr:uid="{00000000-0005-0000-0000-000076EF0000}"/>
    <cellStyle name="Хороший 46" xfId="61234" xr:uid="{00000000-0005-0000-0000-000077EF0000}"/>
    <cellStyle name="Хороший 47" xfId="61235" xr:uid="{00000000-0005-0000-0000-000078EF0000}"/>
    <cellStyle name="Хороший 48" xfId="61236" xr:uid="{00000000-0005-0000-0000-000079EF0000}"/>
    <cellStyle name="Хороший 49" xfId="61237" xr:uid="{00000000-0005-0000-0000-00007AEF0000}"/>
    <cellStyle name="Хороший 5" xfId="61238" xr:uid="{00000000-0005-0000-0000-00007BEF0000}"/>
    <cellStyle name="Хороший 50" xfId="61239" xr:uid="{00000000-0005-0000-0000-00007CEF0000}"/>
    <cellStyle name="Хороший 51" xfId="61240" xr:uid="{00000000-0005-0000-0000-00007DEF0000}"/>
    <cellStyle name="Хороший 52" xfId="61241" xr:uid="{00000000-0005-0000-0000-00007EEF0000}"/>
    <cellStyle name="Хороший 53" xfId="61242" xr:uid="{00000000-0005-0000-0000-00007FEF0000}"/>
    <cellStyle name="Хороший 54" xfId="61243" xr:uid="{00000000-0005-0000-0000-000080EF0000}"/>
    <cellStyle name="Хороший 55" xfId="61244" xr:uid="{00000000-0005-0000-0000-000081EF0000}"/>
    <cellStyle name="Хороший 56" xfId="61245" xr:uid="{00000000-0005-0000-0000-000082EF0000}"/>
    <cellStyle name="Хороший 57" xfId="61246" xr:uid="{00000000-0005-0000-0000-000083EF0000}"/>
    <cellStyle name="Хороший 58" xfId="61247" xr:uid="{00000000-0005-0000-0000-000084EF0000}"/>
    <cellStyle name="Хороший 59" xfId="61248" xr:uid="{00000000-0005-0000-0000-000085EF0000}"/>
    <cellStyle name="Хороший 6" xfId="61249" xr:uid="{00000000-0005-0000-0000-000086EF0000}"/>
    <cellStyle name="Хороший 60" xfId="61250" xr:uid="{00000000-0005-0000-0000-000087EF0000}"/>
    <cellStyle name="Хороший 61" xfId="61251" xr:uid="{00000000-0005-0000-0000-000088EF0000}"/>
    <cellStyle name="Хороший 62" xfId="61252" xr:uid="{00000000-0005-0000-0000-000089EF0000}"/>
    <cellStyle name="Хороший 63" xfId="61253" xr:uid="{00000000-0005-0000-0000-00008AEF0000}"/>
    <cellStyle name="Хороший 64" xfId="61254" xr:uid="{00000000-0005-0000-0000-00008BEF0000}"/>
    <cellStyle name="Хороший 65" xfId="61255" xr:uid="{00000000-0005-0000-0000-00008CEF0000}"/>
    <cellStyle name="Хороший 66" xfId="61256" xr:uid="{00000000-0005-0000-0000-00008DEF0000}"/>
    <cellStyle name="Хороший 67" xfId="61257" xr:uid="{00000000-0005-0000-0000-00008EEF0000}"/>
    <cellStyle name="Хороший 68" xfId="61258" xr:uid="{00000000-0005-0000-0000-00008FEF0000}"/>
    <cellStyle name="Хороший 69" xfId="61259" xr:uid="{00000000-0005-0000-0000-000090EF0000}"/>
    <cellStyle name="Хороший 7" xfId="61260" xr:uid="{00000000-0005-0000-0000-000091EF0000}"/>
    <cellStyle name="Хороший 70" xfId="61261" xr:uid="{00000000-0005-0000-0000-000092EF0000}"/>
    <cellStyle name="Хороший 71" xfId="61262" xr:uid="{00000000-0005-0000-0000-000093EF0000}"/>
    <cellStyle name="Хороший 72" xfId="61263" xr:uid="{00000000-0005-0000-0000-000094EF0000}"/>
    <cellStyle name="Хороший 73" xfId="61264" xr:uid="{00000000-0005-0000-0000-000095EF0000}"/>
    <cellStyle name="Хороший 74" xfId="61265" xr:uid="{00000000-0005-0000-0000-000096EF0000}"/>
    <cellStyle name="Хороший 75" xfId="61266" xr:uid="{00000000-0005-0000-0000-000097EF0000}"/>
    <cellStyle name="Хороший 76" xfId="61267" xr:uid="{00000000-0005-0000-0000-000098EF0000}"/>
    <cellStyle name="Хороший 77" xfId="61268" xr:uid="{00000000-0005-0000-0000-000099EF0000}"/>
    <cellStyle name="Хороший 78" xfId="61269" xr:uid="{00000000-0005-0000-0000-00009AEF0000}"/>
    <cellStyle name="Хороший 79" xfId="61270" xr:uid="{00000000-0005-0000-0000-00009BEF0000}"/>
    <cellStyle name="Хороший 8" xfId="61271" xr:uid="{00000000-0005-0000-0000-00009CEF0000}"/>
    <cellStyle name="Хороший 80" xfId="61272" xr:uid="{00000000-0005-0000-0000-00009DEF0000}"/>
    <cellStyle name="Хороший 81" xfId="61273" xr:uid="{00000000-0005-0000-0000-00009EEF0000}"/>
    <cellStyle name="Хороший 82" xfId="61274" xr:uid="{00000000-0005-0000-0000-00009FEF0000}"/>
    <cellStyle name="Хороший 83" xfId="61275" xr:uid="{00000000-0005-0000-0000-0000A0EF0000}"/>
    <cellStyle name="Хороший 84" xfId="61276" xr:uid="{00000000-0005-0000-0000-0000A1EF0000}"/>
    <cellStyle name="Хороший 85" xfId="61277" xr:uid="{00000000-0005-0000-0000-0000A2EF0000}"/>
    <cellStyle name="Хороший 86" xfId="61278" xr:uid="{00000000-0005-0000-0000-0000A3EF0000}"/>
    <cellStyle name="Хороший 87" xfId="61279" xr:uid="{00000000-0005-0000-0000-0000A4EF0000}"/>
    <cellStyle name="Хороший 88" xfId="61280" xr:uid="{00000000-0005-0000-0000-0000A5EF0000}"/>
    <cellStyle name="Хороший 89" xfId="61281" xr:uid="{00000000-0005-0000-0000-0000A6EF0000}"/>
    <cellStyle name="Хороший 9" xfId="61282" xr:uid="{00000000-0005-0000-0000-0000A7EF0000}"/>
    <cellStyle name="Хороший 90" xfId="61283" xr:uid="{00000000-0005-0000-0000-0000A8EF0000}"/>
    <cellStyle name="Хороший 91" xfId="61284" xr:uid="{00000000-0005-0000-0000-0000A9EF0000}"/>
    <cellStyle name="Хороший 92" xfId="61285" xr:uid="{00000000-0005-0000-0000-0000AAEF0000}"/>
    <cellStyle name="Хороший 93" xfId="61286" xr:uid="{00000000-0005-0000-0000-0000ABEF0000}"/>
    <cellStyle name="Хороший 94" xfId="61287" xr:uid="{00000000-0005-0000-0000-0000ACEF0000}"/>
    <cellStyle name="Хороший 95" xfId="61288" xr:uid="{00000000-0005-0000-0000-0000ADEF0000}"/>
    <cellStyle name="Хороший 96" xfId="61289" xr:uid="{00000000-0005-0000-0000-0000AEEF0000}"/>
    <cellStyle name="Хороший 97" xfId="61290" xr:uid="{00000000-0005-0000-0000-0000AFEF0000}"/>
    <cellStyle name="Хороший 98" xfId="61291" xr:uid="{00000000-0005-0000-0000-0000B0EF0000}"/>
    <cellStyle name="Хороший 99" xfId="61292" xr:uid="{00000000-0005-0000-0000-0000B1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3\Desktop\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сводная табл"/>
      <sheetName val="7-23   (2)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43"/>
  <sheetViews>
    <sheetView tabSelected="1" zoomScaleNormal="100" workbookViewId="0">
      <pane xSplit="4" ySplit="4" topLeftCell="E125" activePane="bottomRight" state="frozen"/>
      <selection activeCell="F306" sqref="F306"/>
      <selection pane="topRight" activeCell="F306" sqref="F306"/>
      <selection pane="bottomLeft" activeCell="F306" sqref="F306"/>
      <selection pane="bottomRight" activeCell="H139" sqref="H139"/>
    </sheetView>
  </sheetViews>
  <sheetFormatPr defaultRowHeight="12.75" x14ac:dyDescent="0.2"/>
  <cols>
    <col min="1" max="1" width="6" style="588" customWidth="1"/>
    <col min="2" max="2" width="11.5703125" style="588" customWidth="1"/>
    <col min="3" max="3" width="35.7109375" style="588" customWidth="1"/>
    <col min="4" max="4" width="7.85546875" style="588" customWidth="1"/>
    <col min="5" max="5" width="11.5703125" style="588" customWidth="1"/>
    <col min="6" max="6" width="10.42578125" style="588" customWidth="1"/>
    <col min="7" max="7" width="9.7109375" style="588" customWidth="1"/>
    <col min="8" max="8" width="17.85546875" style="588" customWidth="1"/>
    <col min="9" max="9" width="14.42578125" style="588" customWidth="1"/>
    <col min="10" max="10" width="12.7109375" style="588" customWidth="1"/>
    <col min="11" max="11" width="8.140625" style="632" customWidth="1"/>
    <col min="12" max="12" width="12.140625" style="632" customWidth="1"/>
    <col min="13" max="13" width="11.140625" style="588" customWidth="1"/>
    <col min="14" max="14" width="12.28515625" style="588" customWidth="1"/>
    <col min="15" max="15" width="9.85546875" style="589" customWidth="1"/>
    <col min="16" max="255" width="9.140625" style="588"/>
    <col min="256" max="256" width="5.5703125" style="588" customWidth="1"/>
    <col min="257" max="257" width="11.5703125" style="588" customWidth="1"/>
    <col min="258" max="258" width="35.7109375" style="588" customWidth="1"/>
    <col min="259" max="259" width="9.140625" style="588" customWidth="1"/>
    <col min="260" max="260" width="11.5703125" style="588" customWidth="1"/>
    <col min="261" max="261" width="15.7109375" style="588" customWidth="1"/>
    <col min="262" max="262" width="13.42578125" style="588" customWidth="1"/>
    <col min="263" max="263" width="19.140625" style="588" customWidth="1"/>
    <col min="264" max="264" width="8.140625" style="588" customWidth="1"/>
    <col min="265" max="265" width="12.140625" style="588" customWidth="1"/>
    <col min="266" max="266" width="14.42578125" style="588" customWidth="1"/>
    <col min="267" max="267" width="13.5703125" style="588" customWidth="1"/>
    <col min="268" max="511" width="9.140625" style="588"/>
    <col min="512" max="512" width="5.5703125" style="588" customWidth="1"/>
    <col min="513" max="513" width="11.5703125" style="588" customWidth="1"/>
    <col min="514" max="514" width="35.7109375" style="588" customWidth="1"/>
    <col min="515" max="515" width="9.140625" style="588" customWidth="1"/>
    <col min="516" max="516" width="11.5703125" style="588" customWidth="1"/>
    <col min="517" max="517" width="15.7109375" style="588" customWidth="1"/>
    <col min="518" max="518" width="13.42578125" style="588" customWidth="1"/>
    <col min="519" max="519" width="19.140625" style="588" customWidth="1"/>
    <col min="520" max="520" width="8.140625" style="588" customWidth="1"/>
    <col min="521" max="521" width="12.140625" style="588" customWidth="1"/>
    <col min="522" max="522" width="14.42578125" style="588" customWidth="1"/>
    <col min="523" max="523" width="13.5703125" style="588" customWidth="1"/>
    <col min="524" max="767" width="9.140625" style="588"/>
    <col min="768" max="768" width="5.5703125" style="588" customWidth="1"/>
    <col min="769" max="769" width="11.5703125" style="588" customWidth="1"/>
    <col min="770" max="770" width="35.7109375" style="588" customWidth="1"/>
    <col min="771" max="771" width="9.140625" style="588" customWidth="1"/>
    <col min="772" max="772" width="11.5703125" style="588" customWidth="1"/>
    <col min="773" max="773" width="15.7109375" style="588" customWidth="1"/>
    <col min="774" max="774" width="13.42578125" style="588" customWidth="1"/>
    <col min="775" max="775" width="19.140625" style="588" customWidth="1"/>
    <col min="776" max="776" width="8.140625" style="588" customWidth="1"/>
    <col min="777" max="777" width="12.140625" style="588" customWidth="1"/>
    <col min="778" max="778" width="14.42578125" style="588" customWidth="1"/>
    <col min="779" max="779" width="13.5703125" style="588" customWidth="1"/>
    <col min="780" max="1023" width="9.140625" style="588"/>
    <col min="1024" max="1024" width="5.5703125" style="588" customWidth="1"/>
    <col min="1025" max="1025" width="11.5703125" style="588" customWidth="1"/>
    <col min="1026" max="1026" width="35.7109375" style="588" customWidth="1"/>
    <col min="1027" max="1027" width="9.140625" style="588" customWidth="1"/>
    <col min="1028" max="1028" width="11.5703125" style="588" customWidth="1"/>
    <col min="1029" max="1029" width="15.7109375" style="588" customWidth="1"/>
    <col min="1030" max="1030" width="13.42578125" style="588" customWidth="1"/>
    <col min="1031" max="1031" width="19.140625" style="588" customWidth="1"/>
    <col min="1032" max="1032" width="8.140625" style="588" customWidth="1"/>
    <col min="1033" max="1033" width="12.140625" style="588" customWidth="1"/>
    <col min="1034" max="1034" width="14.42578125" style="588" customWidth="1"/>
    <col min="1035" max="1035" width="13.5703125" style="588" customWidth="1"/>
    <col min="1036" max="1279" width="9.140625" style="588"/>
    <col min="1280" max="1280" width="5.5703125" style="588" customWidth="1"/>
    <col min="1281" max="1281" width="11.5703125" style="588" customWidth="1"/>
    <col min="1282" max="1282" width="35.7109375" style="588" customWidth="1"/>
    <col min="1283" max="1283" width="9.140625" style="588" customWidth="1"/>
    <col min="1284" max="1284" width="11.5703125" style="588" customWidth="1"/>
    <col min="1285" max="1285" width="15.7109375" style="588" customWidth="1"/>
    <col min="1286" max="1286" width="13.42578125" style="588" customWidth="1"/>
    <col min="1287" max="1287" width="19.140625" style="588" customWidth="1"/>
    <col min="1288" max="1288" width="8.140625" style="588" customWidth="1"/>
    <col min="1289" max="1289" width="12.140625" style="588" customWidth="1"/>
    <col min="1290" max="1290" width="14.42578125" style="588" customWidth="1"/>
    <col min="1291" max="1291" width="13.5703125" style="588" customWidth="1"/>
    <col min="1292" max="1535" width="9.140625" style="588"/>
    <col min="1536" max="1536" width="5.5703125" style="588" customWidth="1"/>
    <col min="1537" max="1537" width="11.5703125" style="588" customWidth="1"/>
    <col min="1538" max="1538" width="35.7109375" style="588" customWidth="1"/>
    <col min="1539" max="1539" width="9.140625" style="588" customWidth="1"/>
    <col min="1540" max="1540" width="11.5703125" style="588" customWidth="1"/>
    <col min="1541" max="1541" width="15.7109375" style="588" customWidth="1"/>
    <col min="1542" max="1542" width="13.42578125" style="588" customWidth="1"/>
    <col min="1543" max="1543" width="19.140625" style="588" customWidth="1"/>
    <col min="1544" max="1544" width="8.140625" style="588" customWidth="1"/>
    <col min="1545" max="1545" width="12.140625" style="588" customWidth="1"/>
    <col min="1546" max="1546" width="14.42578125" style="588" customWidth="1"/>
    <col min="1547" max="1547" width="13.5703125" style="588" customWidth="1"/>
    <col min="1548" max="1791" width="9.140625" style="588"/>
    <col min="1792" max="1792" width="5.5703125" style="588" customWidth="1"/>
    <col min="1793" max="1793" width="11.5703125" style="588" customWidth="1"/>
    <col min="1794" max="1794" width="35.7109375" style="588" customWidth="1"/>
    <col min="1795" max="1795" width="9.140625" style="588" customWidth="1"/>
    <col min="1796" max="1796" width="11.5703125" style="588" customWidth="1"/>
    <col min="1797" max="1797" width="15.7109375" style="588" customWidth="1"/>
    <col min="1798" max="1798" width="13.42578125" style="588" customWidth="1"/>
    <col min="1799" max="1799" width="19.140625" style="588" customWidth="1"/>
    <col min="1800" max="1800" width="8.140625" style="588" customWidth="1"/>
    <col min="1801" max="1801" width="12.140625" style="588" customWidth="1"/>
    <col min="1802" max="1802" width="14.42578125" style="588" customWidth="1"/>
    <col min="1803" max="1803" width="13.5703125" style="588" customWidth="1"/>
    <col min="1804" max="2047" width="9.140625" style="588"/>
    <col min="2048" max="2048" width="5.5703125" style="588" customWidth="1"/>
    <col min="2049" max="2049" width="11.5703125" style="588" customWidth="1"/>
    <col min="2050" max="2050" width="35.7109375" style="588" customWidth="1"/>
    <col min="2051" max="2051" width="9.140625" style="588" customWidth="1"/>
    <col min="2052" max="2052" width="11.5703125" style="588" customWidth="1"/>
    <col min="2053" max="2053" width="15.7109375" style="588" customWidth="1"/>
    <col min="2054" max="2054" width="13.42578125" style="588" customWidth="1"/>
    <col min="2055" max="2055" width="19.140625" style="588" customWidth="1"/>
    <col min="2056" max="2056" width="8.140625" style="588" customWidth="1"/>
    <col min="2057" max="2057" width="12.140625" style="588" customWidth="1"/>
    <col min="2058" max="2058" width="14.42578125" style="588" customWidth="1"/>
    <col min="2059" max="2059" width="13.5703125" style="588" customWidth="1"/>
    <col min="2060" max="2303" width="9.140625" style="588"/>
    <col min="2304" max="2304" width="5.5703125" style="588" customWidth="1"/>
    <col min="2305" max="2305" width="11.5703125" style="588" customWidth="1"/>
    <col min="2306" max="2306" width="35.7109375" style="588" customWidth="1"/>
    <col min="2307" max="2307" width="9.140625" style="588" customWidth="1"/>
    <col min="2308" max="2308" width="11.5703125" style="588" customWidth="1"/>
    <col min="2309" max="2309" width="15.7109375" style="588" customWidth="1"/>
    <col min="2310" max="2310" width="13.42578125" style="588" customWidth="1"/>
    <col min="2311" max="2311" width="19.140625" style="588" customWidth="1"/>
    <col min="2312" max="2312" width="8.140625" style="588" customWidth="1"/>
    <col min="2313" max="2313" width="12.140625" style="588" customWidth="1"/>
    <col min="2314" max="2314" width="14.42578125" style="588" customWidth="1"/>
    <col min="2315" max="2315" width="13.5703125" style="588" customWidth="1"/>
    <col min="2316" max="2559" width="9.140625" style="588"/>
    <col min="2560" max="2560" width="5.5703125" style="588" customWidth="1"/>
    <col min="2561" max="2561" width="11.5703125" style="588" customWidth="1"/>
    <col min="2562" max="2562" width="35.7109375" style="588" customWidth="1"/>
    <col min="2563" max="2563" width="9.140625" style="588" customWidth="1"/>
    <col min="2564" max="2564" width="11.5703125" style="588" customWidth="1"/>
    <col min="2565" max="2565" width="15.7109375" style="588" customWidth="1"/>
    <col min="2566" max="2566" width="13.42578125" style="588" customWidth="1"/>
    <col min="2567" max="2567" width="19.140625" style="588" customWidth="1"/>
    <col min="2568" max="2568" width="8.140625" style="588" customWidth="1"/>
    <col min="2569" max="2569" width="12.140625" style="588" customWidth="1"/>
    <col min="2570" max="2570" width="14.42578125" style="588" customWidth="1"/>
    <col min="2571" max="2571" width="13.5703125" style="588" customWidth="1"/>
    <col min="2572" max="2815" width="9.140625" style="588"/>
    <col min="2816" max="2816" width="5.5703125" style="588" customWidth="1"/>
    <col min="2817" max="2817" width="11.5703125" style="588" customWidth="1"/>
    <col min="2818" max="2818" width="35.7109375" style="588" customWidth="1"/>
    <col min="2819" max="2819" width="9.140625" style="588" customWidth="1"/>
    <col min="2820" max="2820" width="11.5703125" style="588" customWidth="1"/>
    <col min="2821" max="2821" width="15.7109375" style="588" customWidth="1"/>
    <col min="2822" max="2822" width="13.42578125" style="588" customWidth="1"/>
    <col min="2823" max="2823" width="19.140625" style="588" customWidth="1"/>
    <col min="2824" max="2824" width="8.140625" style="588" customWidth="1"/>
    <col min="2825" max="2825" width="12.140625" style="588" customWidth="1"/>
    <col min="2826" max="2826" width="14.42578125" style="588" customWidth="1"/>
    <col min="2827" max="2827" width="13.5703125" style="588" customWidth="1"/>
    <col min="2828" max="3071" width="9.140625" style="588"/>
    <col min="3072" max="3072" width="5.5703125" style="588" customWidth="1"/>
    <col min="3073" max="3073" width="11.5703125" style="588" customWidth="1"/>
    <col min="3074" max="3074" width="35.7109375" style="588" customWidth="1"/>
    <col min="3075" max="3075" width="9.140625" style="588" customWidth="1"/>
    <col min="3076" max="3076" width="11.5703125" style="588" customWidth="1"/>
    <col min="3077" max="3077" width="15.7109375" style="588" customWidth="1"/>
    <col min="3078" max="3078" width="13.42578125" style="588" customWidth="1"/>
    <col min="3079" max="3079" width="19.140625" style="588" customWidth="1"/>
    <col min="3080" max="3080" width="8.140625" style="588" customWidth="1"/>
    <col min="3081" max="3081" width="12.140625" style="588" customWidth="1"/>
    <col min="3082" max="3082" width="14.42578125" style="588" customWidth="1"/>
    <col min="3083" max="3083" width="13.5703125" style="588" customWidth="1"/>
    <col min="3084" max="3327" width="9.140625" style="588"/>
    <col min="3328" max="3328" width="5.5703125" style="588" customWidth="1"/>
    <col min="3329" max="3329" width="11.5703125" style="588" customWidth="1"/>
    <col min="3330" max="3330" width="35.7109375" style="588" customWidth="1"/>
    <col min="3331" max="3331" width="9.140625" style="588" customWidth="1"/>
    <col min="3332" max="3332" width="11.5703125" style="588" customWidth="1"/>
    <col min="3333" max="3333" width="15.7109375" style="588" customWidth="1"/>
    <col min="3334" max="3334" width="13.42578125" style="588" customWidth="1"/>
    <col min="3335" max="3335" width="19.140625" style="588" customWidth="1"/>
    <col min="3336" max="3336" width="8.140625" style="588" customWidth="1"/>
    <col min="3337" max="3337" width="12.140625" style="588" customWidth="1"/>
    <col min="3338" max="3338" width="14.42578125" style="588" customWidth="1"/>
    <col min="3339" max="3339" width="13.5703125" style="588" customWidth="1"/>
    <col min="3340" max="3583" width="9.140625" style="588"/>
    <col min="3584" max="3584" width="5.5703125" style="588" customWidth="1"/>
    <col min="3585" max="3585" width="11.5703125" style="588" customWidth="1"/>
    <col min="3586" max="3586" width="35.7109375" style="588" customWidth="1"/>
    <col min="3587" max="3587" width="9.140625" style="588" customWidth="1"/>
    <col min="3588" max="3588" width="11.5703125" style="588" customWidth="1"/>
    <col min="3589" max="3589" width="15.7109375" style="588" customWidth="1"/>
    <col min="3590" max="3590" width="13.42578125" style="588" customWidth="1"/>
    <col min="3591" max="3591" width="19.140625" style="588" customWidth="1"/>
    <col min="3592" max="3592" width="8.140625" style="588" customWidth="1"/>
    <col min="3593" max="3593" width="12.140625" style="588" customWidth="1"/>
    <col min="3594" max="3594" width="14.42578125" style="588" customWidth="1"/>
    <col min="3595" max="3595" width="13.5703125" style="588" customWidth="1"/>
    <col min="3596" max="3839" width="9.140625" style="588"/>
    <col min="3840" max="3840" width="5.5703125" style="588" customWidth="1"/>
    <col min="3841" max="3841" width="11.5703125" style="588" customWidth="1"/>
    <col min="3842" max="3842" width="35.7109375" style="588" customWidth="1"/>
    <col min="3843" max="3843" width="9.140625" style="588" customWidth="1"/>
    <col min="3844" max="3844" width="11.5703125" style="588" customWidth="1"/>
    <col min="3845" max="3845" width="15.7109375" style="588" customWidth="1"/>
    <col min="3846" max="3846" width="13.42578125" style="588" customWidth="1"/>
    <col min="3847" max="3847" width="19.140625" style="588" customWidth="1"/>
    <col min="3848" max="3848" width="8.140625" style="588" customWidth="1"/>
    <col min="3849" max="3849" width="12.140625" style="588" customWidth="1"/>
    <col min="3850" max="3850" width="14.42578125" style="588" customWidth="1"/>
    <col min="3851" max="3851" width="13.5703125" style="588" customWidth="1"/>
    <col min="3852" max="4095" width="9.140625" style="588"/>
    <col min="4096" max="4096" width="5.5703125" style="588" customWidth="1"/>
    <col min="4097" max="4097" width="11.5703125" style="588" customWidth="1"/>
    <col min="4098" max="4098" width="35.7109375" style="588" customWidth="1"/>
    <col min="4099" max="4099" width="9.140625" style="588" customWidth="1"/>
    <col min="4100" max="4100" width="11.5703125" style="588" customWidth="1"/>
    <col min="4101" max="4101" width="15.7109375" style="588" customWidth="1"/>
    <col min="4102" max="4102" width="13.42578125" style="588" customWidth="1"/>
    <col min="4103" max="4103" width="19.140625" style="588" customWidth="1"/>
    <col min="4104" max="4104" width="8.140625" style="588" customWidth="1"/>
    <col min="4105" max="4105" width="12.140625" style="588" customWidth="1"/>
    <col min="4106" max="4106" width="14.42578125" style="588" customWidth="1"/>
    <col min="4107" max="4107" width="13.5703125" style="588" customWidth="1"/>
    <col min="4108" max="4351" width="9.140625" style="588"/>
    <col min="4352" max="4352" width="5.5703125" style="588" customWidth="1"/>
    <col min="4353" max="4353" width="11.5703125" style="588" customWidth="1"/>
    <col min="4354" max="4354" width="35.7109375" style="588" customWidth="1"/>
    <col min="4355" max="4355" width="9.140625" style="588" customWidth="1"/>
    <col min="4356" max="4356" width="11.5703125" style="588" customWidth="1"/>
    <col min="4357" max="4357" width="15.7109375" style="588" customWidth="1"/>
    <col min="4358" max="4358" width="13.42578125" style="588" customWidth="1"/>
    <col min="4359" max="4359" width="19.140625" style="588" customWidth="1"/>
    <col min="4360" max="4360" width="8.140625" style="588" customWidth="1"/>
    <col min="4361" max="4361" width="12.140625" style="588" customWidth="1"/>
    <col min="4362" max="4362" width="14.42578125" style="588" customWidth="1"/>
    <col min="4363" max="4363" width="13.5703125" style="588" customWidth="1"/>
    <col min="4364" max="4607" width="9.140625" style="588"/>
    <col min="4608" max="4608" width="5.5703125" style="588" customWidth="1"/>
    <col min="4609" max="4609" width="11.5703125" style="588" customWidth="1"/>
    <col min="4610" max="4610" width="35.7109375" style="588" customWidth="1"/>
    <col min="4611" max="4611" width="9.140625" style="588" customWidth="1"/>
    <col min="4612" max="4612" width="11.5703125" style="588" customWidth="1"/>
    <col min="4613" max="4613" width="15.7109375" style="588" customWidth="1"/>
    <col min="4614" max="4614" width="13.42578125" style="588" customWidth="1"/>
    <col min="4615" max="4615" width="19.140625" style="588" customWidth="1"/>
    <col min="4616" max="4616" width="8.140625" style="588" customWidth="1"/>
    <col min="4617" max="4617" width="12.140625" style="588" customWidth="1"/>
    <col min="4618" max="4618" width="14.42578125" style="588" customWidth="1"/>
    <col min="4619" max="4619" width="13.5703125" style="588" customWidth="1"/>
    <col min="4620" max="4863" width="9.140625" style="588"/>
    <col min="4864" max="4864" width="5.5703125" style="588" customWidth="1"/>
    <col min="4865" max="4865" width="11.5703125" style="588" customWidth="1"/>
    <col min="4866" max="4866" width="35.7109375" style="588" customWidth="1"/>
    <col min="4867" max="4867" width="9.140625" style="588" customWidth="1"/>
    <col min="4868" max="4868" width="11.5703125" style="588" customWidth="1"/>
    <col min="4869" max="4869" width="15.7109375" style="588" customWidth="1"/>
    <col min="4870" max="4870" width="13.42578125" style="588" customWidth="1"/>
    <col min="4871" max="4871" width="19.140625" style="588" customWidth="1"/>
    <col min="4872" max="4872" width="8.140625" style="588" customWidth="1"/>
    <col min="4873" max="4873" width="12.140625" style="588" customWidth="1"/>
    <col min="4874" max="4874" width="14.42578125" style="588" customWidth="1"/>
    <col min="4875" max="4875" width="13.5703125" style="588" customWidth="1"/>
    <col min="4876" max="5119" width="9.140625" style="588"/>
    <col min="5120" max="5120" width="5.5703125" style="588" customWidth="1"/>
    <col min="5121" max="5121" width="11.5703125" style="588" customWidth="1"/>
    <col min="5122" max="5122" width="35.7109375" style="588" customWidth="1"/>
    <col min="5123" max="5123" width="9.140625" style="588" customWidth="1"/>
    <col min="5124" max="5124" width="11.5703125" style="588" customWidth="1"/>
    <col min="5125" max="5125" width="15.7109375" style="588" customWidth="1"/>
    <col min="5126" max="5126" width="13.42578125" style="588" customWidth="1"/>
    <col min="5127" max="5127" width="19.140625" style="588" customWidth="1"/>
    <col min="5128" max="5128" width="8.140625" style="588" customWidth="1"/>
    <col min="5129" max="5129" width="12.140625" style="588" customWidth="1"/>
    <col min="5130" max="5130" width="14.42578125" style="588" customWidth="1"/>
    <col min="5131" max="5131" width="13.5703125" style="588" customWidth="1"/>
    <col min="5132" max="5375" width="9.140625" style="588"/>
    <col min="5376" max="5376" width="5.5703125" style="588" customWidth="1"/>
    <col min="5377" max="5377" width="11.5703125" style="588" customWidth="1"/>
    <col min="5378" max="5378" width="35.7109375" style="588" customWidth="1"/>
    <col min="5379" max="5379" width="9.140625" style="588" customWidth="1"/>
    <col min="5380" max="5380" width="11.5703125" style="588" customWidth="1"/>
    <col min="5381" max="5381" width="15.7109375" style="588" customWidth="1"/>
    <col min="5382" max="5382" width="13.42578125" style="588" customWidth="1"/>
    <col min="5383" max="5383" width="19.140625" style="588" customWidth="1"/>
    <col min="5384" max="5384" width="8.140625" style="588" customWidth="1"/>
    <col min="5385" max="5385" width="12.140625" style="588" customWidth="1"/>
    <col min="5386" max="5386" width="14.42578125" style="588" customWidth="1"/>
    <col min="5387" max="5387" width="13.5703125" style="588" customWidth="1"/>
    <col min="5388" max="5631" width="9.140625" style="588"/>
    <col min="5632" max="5632" width="5.5703125" style="588" customWidth="1"/>
    <col min="5633" max="5633" width="11.5703125" style="588" customWidth="1"/>
    <col min="5634" max="5634" width="35.7109375" style="588" customWidth="1"/>
    <col min="5635" max="5635" width="9.140625" style="588" customWidth="1"/>
    <col min="5636" max="5636" width="11.5703125" style="588" customWidth="1"/>
    <col min="5637" max="5637" width="15.7109375" style="588" customWidth="1"/>
    <col min="5638" max="5638" width="13.42578125" style="588" customWidth="1"/>
    <col min="5639" max="5639" width="19.140625" style="588" customWidth="1"/>
    <col min="5640" max="5640" width="8.140625" style="588" customWidth="1"/>
    <col min="5641" max="5641" width="12.140625" style="588" customWidth="1"/>
    <col min="5642" max="5642" width="14.42578125" style="588" customWidth="1"/>
    <col min="5643" max="5643" width="13.5703125" style="588" customWidth="1"/>
    <col min="5644" max="5887" width="9.140625" style="588"/>
    <col min="5888" max="5888" width="5.5703125" style="588" customWidth="1"/>
    <col min="5889" max="5889" width="11.5703125" style="588" customWidth="1"/>
    <col min="5890" max="5890" width="35.7109375" style="588" customWidth="1"/>
    <col min="5891" max="5891" width="9.140625" style="588" customWidth="1"/>
    <col min="5892" max="5892" width="11.5703125" style="588" customWidth="1"/>
    <col min="5893" max="5893" width="15.7109375" style="588" customWidth="1"/>
    <col min="5894" max="5894" width="13.42578125" style="588" customWidth="1"/>
    <col min="5895" max="5895" width="19.140625" style="588" customWidth="1"/>
    <col min="5896" max="5896" width="8.140625" style="588" customWidth="1"/>
    <col min="5897" max="5897" width="12.140625" style="588" customWidth="1"/>
    <col min="5898" max="5898" width="14.42578125" style="588" customWidth="1"/>
    <col min="5899" max="5899" width="13.5703125" style="588" customWidth="1"/>
    <col min="5900" max="6143" width="9.140625" style="588"/>
    <col min="6144" max="6144" width="5.5703125" style="588" customWidth="1"/>
    <col min="6145" max="6145" width="11.5703125" style="588" customWidth="1"/>
    <col min="6146" max="6146" width="35.7109375" style="588" customWidth="1"/>
    <col min="6147" max="6147" width="9.140625" style="588" customWidth="1"/>
    <col min="6148" max="6148" width="11.5703125" style="588" customWidth="1"/>
    <col min="6149" max="6149" width="15.7109375" style="588" customWidth="1"/>
    <col min="6150" max="6150" width="13.42578125" style="588" customWidth="1"/>
    <col min="6151" max="6151" width="19.140625" style="588" customWidth="1"/>
    <col min="6152" max="6152" width="8.140625" style="588" customWidth="1"/>
    <col min="6153" max="6153" width="12.140625" style="588" customWidth="1"/>
    <col min="6154" max="6154" width="14.42578125" style="588" customWidth="1"/>
    <col min="6155" max="6155" width="13.5703125" style="588" customWidth="1"/>
    <col min="6156" max="6399" width="9.140625" style="588"/>
    <col min="6400" max="6400" width="5.5703125" style="588" customWidth="1"/>
    <col min="6401" max="6401" width="11.5703125" style="588" customWidth="1"/>
    <col min="6402" max="6402" width="35.7109375" style="588" customWidth="1"/>
    <col min="6403" max="6403" width="9.140625" style="588" customWidth="1"/>
    <col min="6404" max="6404" width="11.5703125" style="588" customWidth="1"/>
    <col min="6405" max="6405" width="15.7109375" style="588" customWidth="1"/>
    <col min="6406" max="6406" width="13.42578125" style="588" customWidth="1"/>
    <col min="6407" max="6407" width="19.140625" style="588" customWidth="1"/>
    <col min="6408" max="6408" width="8.140625" style="588" customWidth="1"/>
    <col min="6409" max="6409" width="12.140625" style="588" customWidth="1"/>
    <col min="6410" max="6410" width="14.42578125" style="588" customWidth="1"/>
    <col min="6411" max="6411" width="13.5703125" style="588" customWidth="1"/>
    <col min="6412" max="6655" width="9.140625" style="588"/>
    <col min="6656" max="6656" width="5.5703125" style="588" customWidth="1"/>
    <col min="6657" max="6657" width="11.5703125" style="588" customWidth="1"/>
    <col min="6658" max="6658" width="35.7109375" style="588" customWidth="1"/>
    <col min="6659" max="6659" width="9.140625" style="588" customWidth="1"/>
    <col min="6660" max="6660" width="11.5703125" style="588" customWidth="1"/>
    <col min="6661" max="6661" width="15.7109375" style="588" customWidth="1"/>
    <col min="6662" max="6662" width="13.42578125" style="588" customWidth="1"/>
    <col min="6663" max="6663" width="19.140625" style="588" customWidth="1"/>
    <col min="6664" max="6664" width="8.140625" style="588" customWidth="1"/>
    <col min="6665" max="6665" width="12.140625" style="588" customWidth="1"/>
    <col min="6666" max="6666" width="14.42578125" style="588" customWidth="1"/>
    <col min="6667" max="6667" width="13.5703125" style="588" customWidth="1"/>
    <col min="6668" max="6911" width="9.140625" style="588"/>
    <col min="6912" max="6912" width="5.5703125" style="588" customWidth="1"/>
    <col min="6913" max="6913" width="11.5703125" style="588" customWidth="1"/>
    <col min="6914" max="6914" width="35.7109375" style="588" customWidth="1"/>
    <col min="6915" max="6915" width="9.140625" style="588" customWidth="1"/>
    <col min="6916" max="6916" width="11.5703125" style="588" customWidth="1"/>
    <col min="6917" max="6917" width="15.7109375" style="588" customWidth="1"/>
    <col min="6918" max="6918" width="13.42578125" style="588" customWidth="1"/>
    <col min="6919" max="6919" width="19.140625" style="588" customWidth="1"/>
    <col min="6920" max="6920" width="8.140625" style="588" customWidth="1"/>
    <col min="6921" max="6921" width="12.140625" style="588" customWidth="1"/>
    <col min="6922" max="6922" width="14.42578125" style="588" customWidth="1"/>
    <col min="6923" max="6923" width="13.5703125" style="588" customWidth="1"/>
    <col min="6924" max="7167" width="9.140625" style="588"/>
    <col min="7168" max="7168" width="5.5703125" style="588" customWidth="1"/>
    <col min="7169" max="7169" width="11.5703125" style="588" customWidth="1"/>
    <col min="7170" max="7170" width="35.7109375" style="588" customWidth="1"/>
    <col min="7171" max="7171" width="9.140625" style="588" customWidth="1"/>
    <col min="7172" max="7172" width="11.5703125" style="588" customWidth="1"/>
    <col min="7173" max="7173" width="15.7109375" style="588" customWidth="1"/>
    <col min="7174" max="7174" width="13.42578125" style="588" customWidth="1"/>
    <col min="7175" max="7175" width="19.140625" style="588" customWidth="1"/>
    <col min="7176" max="7176" width="8.140625" style="588" customWidth="1"/>
    <col min="7177" max="7177" width="12.140625" style="588" customWidth="1"/>
    <col min="7178" max="7178" width="14.42578125" style="588" customWidth="1"/>
    <col min="7179" max="7179" width="13.5703125" style="588" customWidth="1"/>
    <col min="7180" max="7423" width="9.140625" style="588"/>
    <col min="7424" max="7424" width="5.5703125" style="588" customWidth="1"/>
    <col min="7425" max="7425" width="11.5703125" style="588" customWidth="1"/>
    <col min="7426" max="7426" width="35.7109375" style="588" customWidth="1"/>
    <col min="7427" max="7427" width="9.140625" style="588" customWidth="1"/>
    <col min="7428" max="7428" width="11.5703125" style="588" customWidth="1"/>
    <col min="7429" max="7429" width="15.7109375" style="588" customWidth="1"/>
    <col min="7430" max="7430" width="13.42578125" style="588" customWidth="1"/>
    <col min="7431" max="7431" width="19.140625" style="588" customWidth="1"/>
    <col min="7432" max="7432" width="8.140625" style="588" customWidth="1"/>
    <col min="7433" max="7433" width="12.140625" style="588" customWidth="1"/>
    <col min="7434" max="7434" width="14.42578125" style="588" customWidth="1"/>
    <col min="7435" max="7435" width="13.5703125" style="588" customWidth="1"/>
    <col min="7436" max="7679" width="9.140625" style="588"/>
    <col min="7680" max="7680" width="5.5703125" style="588" customWidth="1"/>
    <col min="7681" max="7681" width="11.5703125" style="588" customWidth="1"/>
    <col min="7682" max="7682" width="35.7109375" style="588" customWidth="1"/>
    <col min="7683" max="7683" width="9.140625" style="588" customWidth="1"/>
    <col min="7684" max="7684" width="11.5703125" style="588" customWidth="1"/>
    <col min="7685" max="7685" width="15.7109375" style="588" customWidth="1"/>
    <col min="7686" max="7686" width="13.42578125" style="588" customWidth="1"/>
    <col min="7687" max="7687" width="19.140625" style="588" customWidth="1"/>
    <col min="7688" max="7688" width="8.140625" style="588" customWidth="1"/>
    <col min="7689" max="7689" width="12.140625" style="588" customWidth="1"/>
    <col min="7690" max="7690" width="14.42578125" style="588" customWidth="1"/>
    <col min="7691" max="7691" width="13.5703125" style="588" customWidth="1"/>
    <col min="7692" max="7935" width="9.140625" style="588"/>
    <col min="7936" max="7936" width="5.5703125" style="588" customWidth="1"/>
    <col min="7937" max="7937" width="11.5703125" style="588" customWidth="1"/>
    <col min="7938" max="7938" width="35.7109375" style="588" customWidth="1"/>
    <col min="7939" max="7939" width="9.140625" style="588" customWidth="1"/>
    <col min="7940" max="7940" width="11.5703125" style="588" customWidth="1"/>
    <col min="7941" max="7941" width="15.7109375" style="588" customWidth="1"/>
    <col min="7942" max="7942" width="13.42578125" style="588" customWidth="1"/>
    <col min="7943" max="7943" width="19.140625" style="588" customWidth="1"/>
    <col min="7944" max="7944" width="8.140625" style="588" customWidth="1"/>
    <col min="7945" max="7945" width="12.140625" style="588" customWidth="1"/>
    <col min="7946" max="7946" width="14.42578125" style="588" customWidth="1"/>
    <col min="7947" max="7947" width="13.5703125" style="588" customWidth="1"/>
    <col min="7948" max="8191" width="9.140625" style="588"/>
    <col min="8192" max="8192" width="5.5703125" style="588" customWidth="1"/>
    <col min="8193" max="8193" width="11.5703125" style="588" customWidth="1"/>
    <col min="8194" max="8194" width="35.7109375" style="588" customWidth="1"/>
    <col min="8195" max="8195" width="9.140625" style="588" customWidth="1"/>
    <col min="8196" max="8196" width="11.5703125" style="588" customWidth="1"/>
    <col min="8197" max="8197" width="15.7109375" style="588" customWidth="1"/>
    <col min="8198" max="8198" width="13.42578125" style="588" customWidth="1"/>
    <col min="8199" max="8199" width="19.140625" style="588" customWidth="1"/>
    <col min="8200" max="8200" width="8.140625" style="588" customWidth="1"/>
    <col min="8201" max="8201" width="12.140625" style="588" customWidth="1"/>
    <col min="8202" max="8202" width="14.42578125" style="588" customWidth="1"/>
    <col min="8203" max="8203" width="13.5703125" style="588" customWidth="1"/>
    <col min="8204" max="8447" width="9.140625" style="588"/>
    <col min="8448" max="8448" width="5.5703125" style="588" customWidth="1"/>
    <col min="8449" max="8449" width="11.5703125" style="588" customWidth="1"/>
    <col min="8450" max="8450" width="35.7109375" style="588" customWidth="1"/>
    <col min="8451" max="8451" width="9.140625" style="588" customWidth="1"/>
    <col min="8452" max="8452" width="11.5703125" style="588" customWidth="1"/>
    <col min="8453" max="8453" width="15.7109375" style="588" customWidth="1"/>
    <col min="8454" max="8454" width="13.42578125" style="588" customWidth="1"/>
    <col min="8455" max="8455" width="19.140625" style="588" customWidth="1"/>
    <col min="8456" max="8456" width="8.140625" style="588" customWidth="1"/>
    <col min="8457" max="8457" width="12.140625" style="588" customWidth="1"/>
    <col min="8458" max="8458" width="14.42578125" style="588" customWidth="1"/>
    <col min="8459" max="8459" width="13.5703125" style="588" customWidth="1"/>
    <col min="8460" max="8703" width="9.140625" style="588"/>
    <col min="8704" max="8704" width="5.5703125" style="588" customWidth="1"/>
    <col min="8705" max="8705" width="11.5703125" style="588" customWidth="1"/>
    <col min="8706" max="8706" width="35.7109375" style="588" customWidth="1"/>
    <col min="8707" max="8707" width="9.140625" style="588" customWidth="1"/>
    <col min="8708" max="8708" width="11.5703125" style="588" customWidth="1"/>
    <col min="8709" max="8709" width="15.7109375" style="588" customWidth="1"/>
    <col min="8710" max="8710" width="13.42578125" style="588" customWidth="1"/>
    <col min="8711" max="8711" width="19.140625" style="588" customWidth="1"/>
    <col min="8712" max="8712" width="8.140625" style="588" customWidth="1"/>
    <col min="8713" max="8713" width="12.140625" style="588" customWidth="1"/>
    <col min="8714" max="8714" width="14.42578125" style="588" customWidth="1"/>
    <col min="8715" max="8715" width="13.5703125" style="588" customWidth="1"/>
    <col min="8716" max="8959" width="9.140625" style="588"/>
    <col min="8960" max="8960" width="5.5703125" style="588" customWidth="1"/>
    <col min="8961" max="8961" width="11.5703125" style="588" customWidth="1"/>
    <col min="8962" max="8962" width="35.7109375" style="588" customWidth="1"/>
    <col min="8963" max="8963" width="9.140625" style="588" customWidth="1"/>
    <col min="8964" max="8964" width="11.5703125" style="588" customWidth="1"/>
    <col min="8965" max="8965" width="15.7109375" style="588" customWidth="1"/>
    <col min="8966" max="8966" width="13.42578125" style="588" customWidth="1"/>
    <col min="8967" max="8967" width="19.140625" style="588" customWidth="1"/>
    <col min="8968" max="8968" width="8.140625" style="588" customWidth="1"/>
    <col min="8969" max="8969" width="12.140625" style="588" customWidth="1"/>
    <col min="8970" max="8970" width="14.42578125" style="588" customWidth="1"/>
    <col min="8971" max="8971" width="13.5703125" style="588" customWidth="1"/>
    <col min="8972" max="9215" width="9.140625" style="588"/>
    <col min="9216" max="9216" width="5.5703125" style="588" customWidth="1"/>
    <col min="9217" max="9217" width="11.5703125" style="588" customWidth="1"/>
    <col min="9218" max="9218" width="35.7109375" style="588" customWidth="1"/>
    <col min="9219" max="9219" width="9.140625" style="588" customWidth="1"/>
    <col min="9220" max="9220" width="11.5703125" style="588" customWidth="1"/>
    <col min="9221" max="9221" width="15.7109375" style="588" customWidth="1"/>
    <col min="9222" max="9222" width="13.42578125" style="588" customWidth="1"/>
    <col min="9223" max="9223" width="19.140625" style="588" customWidth="1"/>
    <col min="9224" max="9224" width="8.140625" style="588" customWidth="1"/>
    <col min="9225" max="9225" width="12.140625" style="588" customWidth="1"/>
    <col min="9226" max="9226" width="14.42578125" style="588" customWidth="1"/>
    <col min="9227" max="9227" width="13.5703125" style="588" customWidth="1"/>
    <col min="9228" max="9471" width="9.140625" style="588"/>
    <col min="9472" max="9472" width="5.5703125" style="588" customWidth="1"/>
    <col min="9473" max="9473" width="11.5703125" style="588" customWidth="1"/>
    <col min="9474" max="9474" width="35.7109375" style="588" customWidth="1"/>
    <col min="9475" max="9475" width="9.140625" style="588" customWidth="1"/>
    <col min="9476" max="9476" width="11.5703125" style="588" customWidth="1"/>
    <col min="9477" max="9477" width="15.7109375" style="588" customWidth="1"/>
    <col min="9478" max="9478" width="13.42578125" style="588" customWidth="1"/>
    <col min="9479" max="9479" width="19.140625" style="588" customWidth="1"/>
    <col min="9480" max="9480" width="8.140625" style="588" customWidth="1"/>
    <col min="9481" max="9481" width="12.140625" style="588" customWidth="1"/>
    <col min="9482" max="9482" width="14.42578125" style="588" customWidth="1"/>
    <col min="9483" max="9483" width="13.5703125" style="588" customWidth="1"/>
    <col min="9484" max="9727" width="9.140625" style="588"/>
    <col min="9728" max="9728" width="5.5703125" style="588" customWidth="1"/>
    <col min="9729" max="9729" width="11.5703125" style="588" customWidth="1"/>
    <col min="9730" max="9730" width="35.7109375" style="588" customWidth="1"/>
    <col min="9731" max="9731" width="9.140625" style="588" customWidth="1"/>
    <col min="9732" max="9732" width="11.5703125" style="588" customWidth="1"/>
    <col min="9733" max="9733" width="15.7109375" style="588" customWidth="1"/>
    <col min="9734" max="9734" width="13.42578125" style="588" customWidth="1"/>
    <col min="9735" max="9735" width="19.140625" style="588" customWidth="1"/>
    <col min="9736" max="9736" width="8.140625" style="588" customWidth="1"/>
    <col min="9737" max="9737" width="12.140625" style="588" customWidth="1"/>
    <col min="9738" max="9738" width="14.42578125" style="588" customWidth="1"/>
    <col min="9739" max="9739" width="13.5703125" style="588" customWidth="1"/>
    <col min="9740" max="9983" width="9.140625" style="588"/>
    <col min="9984" max="9984" width="5.5703125" style="588" customWidth="1"/>
    <col min="9985" max="9985" width="11.5703125" style="588" customWidth="1"/>
    <col min="9986" max="9986" width="35.7109375" style="588" customWidth="1"/>
    <col min="9987" max="9987" width="9.140625" style="588" customWidth="1"/>
    <col min="9988" max="9988" width="11.5703125" style="588" customWidth="1"/>
    <col min="9989" max="9989" width="15.7109375" style="588" customWidth="1"/>
    <col min="9990" max="9990" width="13.42578125" style="588" customWidth="1"/>
    <col min="9991" max="9991" width="19.140625" style="588" customWidth="1"/>
    <col min="9992" max="9992" width="8.140625" style="588" customWidth="1"/>
    <col min="9993" max="9993" width="12.140625" style="588" customWidth="1"/>
    <col min="9994" max="9994" width="14.42578125" style="588" customWidth="1"/>
    <col min="9995" max="9995" width="13.5703125" style="588" customWidth="1"/>
    <col min="9996" max="10239" width="9.140625" style="588"/>
    <col min="10240" max="10240" width="5.5703125" style="588" customWidth="1"/>
    <col min="10241" max="10241" width="11.5703125" style="588" customWidth="1"/>
    <col min="10242" max="10242" width="35.7109375" style="588" customWidth="1"/>
    <col min="10243" max="10243" width="9.140625" style="588" customWidth="1"/>
    <col min="10244" max="10244" width="11.5703125" style="588" customWidth="1"/>
    <col min="10245" max="10245" width="15.7109375" style="588" customWidth="1"/>
    <col min="10246" max="10246" width="13.42578125" style="588" customWidth="1"/>
    <col min="10247" max="10247" width="19.140625" style="588" customWidth="1"/>
    <col min="10248" max="10248" width="8.140625" style="588" customWidth="1"/>
    <col min="10249" max="10249" width="12.140625" style="588" customWidth="1"/>
    <col min="10250" max="10250" width="14.42578125" style="588" customWidth="1"/>
    <col min="10251" max="10251" width="13.5703125" style="588" customWidth="1"/>
    <col min="10252" max="10495" width="9.140625" style="588"/>
    <col min="10496" max="10496" width="5.5703125" style="588" customWidth="1"/>
    <col min="10497" max="10497" width="11.5703125" style="588" customWidth="1"/>
    <col min="10498" max="10498" width="35.7109375" style="588" customWidth="1"/>
    <col min="10499" max="10499" width="9.140625" style="588" customWidth="1"/>
    <col min="10500" max="10500" width="11.5703125" style="588" customWidth="1"/>
    <col min="10501" max="10501" width="15.7109375" style="588" customWidth="1"/>
    <col min="10502" max="10502" width="13.42578125" style="588" customWidth="1"/>
    <col min="10503" max="10503" width="19.140625" style="588" customWidth="1"/>
    <col min="10504" max="10504" width="8.140625" style="588" customWidth="1"/>
    <col min="10505" max="10505" width="12.140625" style="588" customWidth="1"/>
    <col min="10506" max="10506" width="14.42578125" style="588" customWidth="1"/>
    <col min="10507" max="10507" width="13.5703125" style="588" customWidth="1"/>
    <col min="10508" max="10751" width="9.140625" style="588"/>
    <col min="10752" max="10752" width="5.5703125" style="588" customWidth="1"/>
    <col min="10753" max="10753" width="11.5703125" style="588" customWidth="1"/>
    <col min="10754" max="10754" width="35.7109375" style="588" customWidth="1"/>
    <col min="10755" max="10755" width="9.140625" style="588" customWidth="1"/>
    <col min="10756" max="10756" width="11.5703125" style="588" customWidth="1"/>
    <col min="10757" max="10757" width="15.7109375" style="588" customWidth="1"/>
    <col min="10758" max="10758" width="13.42578125" style="588" customWidth="1"/>
    <col min="10759" max="10759" width="19.140625" style="588" customWidth="1"/>
    <col min="10760" max="10760" width="8.140625" style="588" customWidth="1"/>
    <col min="10761" max="10761" width="12.140625" style="588" customWidth="1"/>
    <col min="10762" max="10762" width="14.42578125" style="588" customWidth="1"/>
    <col min="10763" max="10763" width="13.5703125" style="588" customWidth="1"/>
    <col min="10764" max="11007" width="9.140625" style="588"/>
    <col min="11008" max="11008" width="5.5703125" style="588" customWidth="1"/>
    <col min="11009" max="11009" width="11.5703125" style="588" customWidth="1"/>
    <col min="11010" max="11010" width="35.7109375" style="588" customWidth="1"/>
    <col min="11011" max="11011" width="9.140625" style="588" customWidth="1"/>
    <col min="11012" max="11012" width="11.5703125" style="588" customWidth="1"/>
    <col min="11013" max="11013" width="15.7109375" style="588" customWidth="1"/>
    <col min="11014" max="11014" width="13.42578125" style="588" customWidth="1"/>
    <col min="11015" max="11015" width="19.140625" style="588" customWidth="1"/>
    <col min="11016" max="11016" width="8.140625" style="588" customWidth="1"/>
    <col min="11017" max="11017" width="12.140625" style="588" customWidth="1"/>
    <col min="11018" max="11018" width="14.42578125" style="588" customWidth="1"/>
    <col min="11019" max="11019" width="13.5703125" style="588" customWidth="1"/>
    <col min="11020" max="11263" width="9.140625" style="588"/>
    <col min="11264" max="11264" width="5.5703125" style="588" customWidth="1"/>
    <col min="11265" max="11265" width="11.5703125" style="588" customWidth="1"/>
    <col min="11266" max="11266" width="35.7109375" style="588" customWidth="1"/>
    <col min="11267" max="11267" width="9.140625" style="588" customWidth="1"/>
    <col min="11268" max="11268" width="11.5703125" style="588" customWidth="1"/>
    <col min="11269" max="11269" width="15.7109375" style="588" customWidth="1"/>
    <col min="11270" max="11270" width="13.42578125" style="588" customWidth="1"/>
    <col min="11271" max="11271" width="19.140625" style="588" customWidth="1"/>
    <col min="11272" max="11272" width="8.140625" style="588" customWidth="1"/>
    <col min="11273" max="11273" width="12.140625" style="588" customWidth="1"/>
    <col min="11274" max="11274" width="14.42578125" style="588" customWidth="1"/>
    <col min="11275" max="11275" width="13.5703125" style="588" customWidth="1"/>
    <col min="11276" max="11519" width="9.140625" style="588"/>
    <col min="11520" max="11520" width="5.5703125" style="588" customWidth="1"/>
    <col min="11521" max="11521" width="11.5703125" style="588" customWidth="1"/>
    <col min="11522" max="11522" width="35.7109375" style="588" customWidth="1"/>
    <col min="11523" max="11523" width="9.140625" style="588" customWidth="1"/>
    <col min="11524" max="11524" width="11.5703125" style="588" customWidth="1"/>
    <col min="11525" max="11525" width="15.7109375" style="588" customWidth="1"/>
    <col min="11526" max="11526" width="13.42578125" style="588" customWidth="1"/>
    <col min="11527" max="11527" width="19.140625" style="588" customWidth="1"/>
    <col min="11528" max="11528" width="8.140625" style="588" customWidth="1"/>
    <col min="11529" max="11529" width="12.140625" style="588" customWidth="1"/>
    <col min="11530" max="11530" width="14.42578125" style="588" customWidth="1"/>
    <col min="11531" max="11531" width="13.5703125" style="588" customWidth="1"/>
    <col min="11532" max="11775" width="9.140625" style="588"/>
    <col min="11776" max="11776" width="5.5703125" style="588" customWidth="1"/>
    <col min="11777" max="11777" width="11.5703125" style="588" customWidth="1"/>
    <col min="11778" max="11778" width="35.7109375" style="588" customWidth="1"/>
    <col min="11779" max="11779" width="9.140625" style="588" customWidth="1"/>
    <col min="11780" max="11780" width="11.5703125" style="588" customWidth="1"/>
    <col min="11781" max="11781" width="15.7109375" style="588" customWidth="1"/>
    <col min="11782" max="11782" width="13.42578125" style="588" customWidth="1"/>
    <col min="11783" max="11783" width="19.140625" style="588" customWidth="1"/>
    <col min="11784" max="11784" width="8.140625" style="588" customWidth="1"/>
    <col min="11785" max="11785" width="12.140625" style="588" customWidth="1"/>
    <col min="11786" max="11786" width="14.42578125" style="588" customWidth="1"/>
    <col min="11787" max="11787" width="13.5703125" style="588" customWidth="1"/>
    <col min="11788" max="12031" width="9.140625" style="588"/>
    <col min="12032" max="12032" width="5.5703125" style="588" customWidth="1"/>
    <col min="12033" max="12033" width="11.5703125" style="588" customWidth="1"/>
    <col min="12034" max="12034" width="35.7109375" style="588" customWidth="1"/>
    <col min="12035" max="12035" width="9.140625" style="588" customWidth="1"/>
    <col min="12036" max="12036" width="11.5703125" style="588" customWidth="1"/>
    <col min="12037" max="12037" width="15.7109375" style="588" customWidth="1"/>
    <col min="12038" max="12038" width="13.42578125" style="588" customWidth="1"/>
    <col min="12039" max="12039" width="19.140625" style="588" customWidth="1"/>
    <col min="12040" max="12040" width="8.140625" style="588" customWidth="1"/>
    <col min="12041" max="12041" width="12.140625" style="588" customWidth="1"/>
    <col min="12042" max="12042" width="14.42578125" style="588" customWidth="1"/>
    <col min="12043" max="12043" width="13.5703125" style="588" customWidth="1"/>
    <col min="12044" max="12287" width="9.140625" style="588"/>
    <col min="12288" max="12288" width="5.5703125" style="588" customWidth="1"/>
    <col min="12289" max="12289" width="11.5703125" style="588" customWidth="1"/>
    <col min="12290" max="12290" width="35.7109375" style="588" customWidth="1"/>
    <col min="12291" max="12291" width="9.140625" style="588" customWidth="1"/>
    <col min="12292" max="12292" width="11.5703125" style="588" customWidth="1"/>
    <col min="12293" max="12293" width="15.7109375" style="588" customWidth="1"/>
    <col min="12294" max="12294" width="13.42578125" style="588" customWidth="1"/>
    <col min="12295" max="12295" width="19.140625" style="588" customWidth="1"/>
    <col min="12296" max="12296" width="8.140625" style="588" customWidth="1"/>
    <col min="12297" max="12297" width="12.140625" style="588" customWidth="1"/>
    <col min="12298" max="12298" width="14.42578125" style="588" customWidth="1"/>
    <col min="12299" max="12299" width="13.5703125" style="588" customWidth="1"/>
    <col min="12300" max="12543" width="9.140625" style="588"/>
    <col min="12544" max="12544" width="5.5703125" style="588" customWidth="1"/>
    <col min="12545" max="12545" width="11.5703125" style="588" customWidth="1"/>
    <col min="12546" max="12546" width="35.7109375" style="588" customWidth="1"/>
    <col min="12547" max="12547" width="9.140625" style="588" customWidth="1"/>
    <col min="12548" max="12548" width="11.5703125" style="588" customWidth="1"/>
    <col min="12549" max="12549" width="15.7109375" style="588" customWidth="1"/>
    <col min="12550" max="12550" width="13.42578125" style="588" customWidth="1"/>
    <col min="12551" max="12551" width="19.140625" style="588" customWidth="1"/>
    <col min="12552" max="12552" width="8.140625" style="588" customWidth="1"/>
    <col min="12553" max="12553" width="12.140625" style="588" customWidth="1"/>
    <col min="12554" max="12554" width="14.42578125" style="588" customWidth="1"/>
    <col min="12555" max="12555" width="13.5703125" style="588" customWidth="1"/>
    <col min="12556" max="12799" width="9.140625" style="588"/>
    <col min="12800" max="12800" width="5.5703125" style="588" customWidth="1"/>
    <col min="12801" max="12801" width="11.5703125" style="588" customWidth="1"/>
    <col min="12802" max="12802" width="35.7109375" style="588" customWidth="1"/>
    <col min="12803" max="12803" width="9.140625" style="588" customWidth="1"/>
    <col min="12804" max="12804" width="11.5703125" style="588" customWidth="1"/>
    <col min="12805" max="12805" width="15.7109375" style="588" customWidth="1"/>
    <col min="12806" max="12806" width="13.42578125" style="588" customWidth="1"/>
    <col min="12807" max="12807" width="19.140625" style="588" customWidth="1"/>
    <col min="12808" max="12808" width="8.140625" style="588" customWidth="1"/>
    <col min="12809" max="12809" width="12.140625" style="588" customWidth="1"/>
    <col min="12810" max="12810" width="14.42578125" style="588" customWidth="1"/>
    <col min="12811" max="12811" width="13.5703125" style="588" customWidth="1"/>
    <col min="12812" max="13055" width="9.140625" style="588"/>
    <col min="13056" max="13056" width="5.5703125" style="588" customWidth="1"/>
    <col min="13057" max="13057" width="11.5703125" style="588" customWidth="1"/>
    <col min="13058" max="13058" width="35.7109375" style="588" customWidth="1"/>
    <col min="13059" max="13059" width="9.140625" style="588" customWidth="1"/>
    <col min="13060" max="13060" width="11.5703125" style="588" customWidth="1"/>
    <col min="13061" max="13061" width="15.7109375" style="588" customWidth="1"/>
    <col min="13062" max="13062" width="13.42578125" style="588" customWidth="1"/>
    <col min="13063" max="13063" width="19.140625" style="588" customWidth="1"/>
    <col min="13064" max="13064" width="8.140625" style="588" customWidth="1"/>
    <col min="13065" max="13065" width="12.140625" style="588" customWidth="1"/>
    <col min="13066" max="13066" width="14.42578125" style="588" customWidth="1"/>
    <col min="13067" max="13067" width="13.5703125" style="588" customWidth="1"/>
    <col min="13068" max="13311" width="9.140625" style="588"/>
    <col min="13312" max="13312" width="5.5703125" style="588" customWidth="1"/>
    <col min="13313" max="13313" width="11.5703125" style="588" customWidth="1"/>
    <col min="13314" max="13314" width="35.7109375" style="588" customWidth="1"/>
    <col min="13315" max="13315" width="9.140625" style="588" customWidth="1"/>
    <col min="13316" max="13316" width="11.5703125" style="588" customWidth="1"/>
    <col min="13317" max="13317" width="15.7109375" style="588" customWidth="1"/>
    <col min="13318" max="13318" width="13.42578125" style="588" customWidth="1"/>
    <col min="13319" max="13319" width="19.140625" style="588" customWidth="1"/>
    <col min="13320" max="13320" width="8.140625" style="588" customWidth="1"/>
    <col min="13321" max="13321" width="12.140625" style="588" customWidth="1"/>
    <col min="13322" max="13322" width="14.42578125" style="588" customWidth="1"/>
    <col min="13323" max="13323" width="13.5703125" style="588" customWidth="1"/>
    <col min="13324" max="13567" width="9.140625" style="588"/>
    <col min="13568" max="13568" width="5.5703125" style="588" customWidth="1"/>
    <col min="13569" max="13569" width="11.5703125" style="588" customWidth="1"/>
    <col min="13570" max="13570" width="35.7109375" style="588" customWidth="1"/>
    <col min="13571" max="13571" width="9.140625" style="588" customWidth="1"/>
    <col min="13572" max="13572" width="11.5703125" style="588" customWidth="1"/>
    <col min="13573" max="13573" width="15.7109375" style="588" customWidth="1"/>
    <col min="13574" max="13574" width="13.42578125" style="588" customWidth="1"/>
    <col min="13575" max="13575" width="19.140625" style="588" customWidth="1"/>
    <col min="13576" max="13576" width="8.140625" style="588" customWidth="1"/>
    <col min="13577" max="13577" width="12.140625" style="588" customWidth="1"/>
    <col min="13578" max="13578" width="14.42578125" style="588" customWidth="1"/>
    <col min="13579" max="13579" width="13.5703125" style="588" customWidth="1"/>
    <col min="13580" max="13823" width="9.140625" style="588"/>
    <col min="13824" max="13824" width="5.5703125" style="588" customWidth="1"/>
    <col min="13825" max="13825" width="11.5703125" style="588" customWidth="1"/>
    <col min="13826" max="13826" width="35.7109375" style="588" customWidth="1"/>
    <col min="13827" max="13827" width="9.140625" style="588" customWidth="1"/>
    <col min="13828" max="13828" width="11.5703125" style="588" customWidth="1"/>
    <col min="13829" max="13829" width="15.7109375" style="588" customWidth="1"/>
    <col min="13830" max="13830" width="13.42578125" style="588" customWidth="1"/>
    <col min="13831" max="13831" width="19.140625" style="588" customWidth="1"/>
    <col min="13832" max="13832" width="8.140625" style="588" customWidth="1"/>
    <col min="13833" max="13833" width="12.140625" style="588" customWidth="1"/>
    <col min="13834" max="13834" width="14.42578125" style="588" customWidth="1"/>
    <col min="13835" max="13835" width="13.5703125" style="588" customWidth="1"/>
    <col min="13836" max="14079" width="9.140625" style="588"/>
    <col min="14080" max="14080" width="5.5703125" style="588" customWidth="1"/>
    <col min="14081" max="14081" width="11.5703125" style="588" customWidth="1"/>
    <col min="14082" max="14082" width="35.7109375" style="588" customWidth="1"/>
    <col min="14083" max="14083" width="9.140625" style="588" customWidth="1"/>
    <col min="14084" max="14084" width="11.5703125" style="588" customWidth="1"/>
    <col min="14085" max="14085" width="15.7109375" style="588" customWidth="1"/>
    <col min="14086" max="14086" width="13.42578125" style="588" customWidth="1"/>
    <col min="14087" max="14087" width="19.140625" style="588" customWidth="1"/>
    <col min="14088" max="14088" width="8.140625" style="588" customWidth="1"/>
    <col min="14089" max="14089" width="12.140625" style="588" customWidth="1"/>
    <col min="14090" max="14090" width="14.42578125" style="588" customWidth="1"/>
    <col min="14091" max="14091" width="13.5703125" style="588" customWidth="1"/>
    <col min="14092" max="14335" width="9.140625" style="588"/>
    <col min="14336" max="14336" width="5.5703125" style="588" customWidth="1"/>
    <col min="14337" max="14337" width="11.5703125" style="588" customWidth="1"/>
    <col min="14338" max="14338" width="35.7109375" style="588" customWidth="1"/>
    <col min="14339" max="14339" width="9.140625" style="588" customWidth="1"/>
    <col min="14340" max="14340" width="11.5703125" style="588" customWidth="1"/>
    <col min="14341" max="14341" width="15.7109375" style="588" customWidth="1"/>
    <col min="14342" max="14342" width="13.42578125" style="588" customWidth="1"/>
    <col min="14343" max="14343" width="19.140625" style="588" customWidth="1"/>
    <col min="14344" max="14344" width="8.140625" style="588" customWidth="1"/>
    <col min="14345" max="14345" width="12.140625" style="588" customWidth="1"/>
    <col min="14346" max="14346" width="14.42578125" style="588" customWidth="1"/>
    <col min="14347" max="14347" width="13.5703125" style="588" customWidth="1"/>
    <col min="14348" max="14591" width="9.140625" style="588"/>
    <col min="14592" max="14592" width="5.5703125" style="588" customWidth="1"/>
    <col min="14593" max="14593" width="11.5703125" style="588" customWidth="1"/>
    <col min="14594" max="14594" width="35.7109375" style="588" customWidth="1"/>
    <col min="14595" max="14595" width="9.140625" style="588" customWidth="1"/>
    <col min="14596" max="14596" width="11.5703125" style="588" customWidth="1"/>
    <col min="14597" max="14597" width="15.7109375" style="588" customWidth="1"/>
    <col min="14598" max="14598" width="13.42578125" style="588" customWidth="1"/>
    <col min="14599" max="14599" width="19.140625" style="588" customWidth="1"/>
    <col min="14600" max="14600" width="8.140625" style="588" customWidth="1"/>
    <col min="14601" max="14601" width="12.140625" style="588" customWidth="1"/>
    <col min="14602" max="14602" width="14.42578125" style="588" customWidth="1"/>
    <col min="14603" max="14603" width="13.5703125" style="588" customWidth="1"/>
    <col min="14604" max="14847" width="9.140625" style="588"/>
    <col min="14848" max="14848" width="5.5703125" style="588" customWidth="1"/>
    <col min="14849" max="14849" width="11.5703125" style="588" customWidth="1"/>
    <col min="14850" max="14850" width="35.7109375" style="588" customWidth="1"/>
    <col min="14851" max="14851" width="9.140625" style="588" customWidth="1"/>
    <col min="14852" max="14852" width="11.5703125" style="588" customWidth="1"/>
    <col min="14853" max="14853" width="15.7109375" style="588" customWidth="1"/>
    <col min="14854" max="14854" width="13.42578125" style="588" customWidth="1"/>
    <col min="14855" max="14855" width="19.140625" style="588" customWidth="1"/>
    <col min="14856" max="14856" width="8.140625" style="588" customWidth="1"/>
    <col min="14857" max="14857" width="12.140625" style="588" customWidth="1"/>
    <col min="14858" max="14858" width="14.42578125" style="588" customWidth="1"/>
    <col min="14859" max="14859" width="13.5703125" style="588" customWidth="1"/>
    <col min="14860" max="15103" width="9.140625" style="588"/>
    <col min="15104" max="15104" width="5.5703125" style="588" customWidth="1"/>
    <col min="15105" max="15105" width="11.5703125" style="588" customWidth="1"/>
    <col min="15106" max="15106" width="35.7109375" style="588" customWidth="1"/>
    <col min="15107" max="15107" width="9.140625" style="588" customWidth="1"/>
    <col min="15108" max="15108" width="11.5703125" style="588" customWidth="1"/>
    <col min="15109" max="15109" width="15.7109375" style="588" customWidth="1"/>
    <col min="15110" max="15110" width="13.42578125" style="588" customWidth="1"/>
    <col min="15111" max="15111" width="19.140625" style="588" customWidth="1"/>
    <col min="15112" max="15112" width="8.140625" style="588" customWidth="1"/>
    <col min="15113" max="15113" width="12.140625" style="588" customWidth="1"/>
    <col min="15114" max="15114" width="14.42578125" style="588" customWidth="1"/>
    <col min="15115" max="15115" width="13.5703125" style="588" customWidth="1"/>
    <col min="15116" max="15359" width="9.140625" style="588"/>
    <col min="15360" max="15360" width="5.5703125" style="588" customWidth="1"/>
    <col min="15361" max="15361" width="11.5703125" style="588" customWidth="1"/>
    <col min="15362" max="15362" width="35.7109375" style="588" customWidth="1"/>
    <col min="15363" max="15363" width="9.140625" style="588" customWidth="1"/>
    <col min="15364" max="15364" width="11.5703125" style="588" customWidth="1"/>
    <col min="15365" max="15365" width="15.7109375" style="588" customWidth="1"/>
    <col min="15366" max="15366" width="13.42578125" style="588" customWidth="1"/>
    <col min="15367" max="15367" width="19.140625" style="588" customWidth="1"/>
    <col min="15368" max="15368" width="8.140625" style="588" customWidth="1"/>
    <col min="15369" max="15369" width="12.140625" style="588" customWidth="1"/>
    <col min="15370" max="15370" width="14.42578125" style="588" customWidth="1"/>
    <col min="15371" max="15371" width="13.5703125" style="588" customWidth="1"/>
    <col min="15372" max="15615" width="9.140625" style="588"/>
    <col min="15616" max="15616" width="5.5703125" style="588" customWidth="1"/>
    <col min="15617" max="15617" width="11.5703125" style="588" customWidth="1"/>
    <col min="15618" max="15618" width="35.7109375" style="588" customWidth="1"/>
    <col min="15619" max="15619" width="9.140625" style="588" customWidth="1"/>
    <col min="15620" max="15620" width="11.5703125" style="588" customWidth="1"/>
    <col min="15621" max="15621" width="15.7109375" style="588" customWidth="1"/>
    <col min="15622" max="15622" width="13.42578125" style="588" customWidth="1"/>
    <col min="15623" max="15623" width="19.140625" style="588" customWidth="1"/>
    <col min="15624" max="15624" width="8.140625" style="588" customWidth="1"/>
    <col min="15625" max="15625" width="12.140625" style="588" customWidth="1"/>
    <col min="15626" max="15626" width="14.42578125" style="588" customWidth="1"/>
    <col min="15627" max="15627" width="13.5703125" style="588" customWidth="1"/>
    <col min="15628" max="15871" width="9.140625" style="588"/>
    <col min="15872" max="15872" width="5.5703125" style="588" customWidth="1"/>
    <col min="15873" max="15873" width="11.5703125" style="588" customWidth="1"/>
    <col min="15874" max="15874" width="35.7109375" style="588" customWidth="1"/>
    <col min="15875" max="15875" width="9.140625" style="588" customWidth="1"/>
    <col min="15876" max="15876" width="11.5703125" style="588" customWidth="1"/>
    <col min="15877" max="15877" width="15.7109375" style="588" customWidth="1"/>
    <col min="15878" max="15878" width="13.42578125" style="588" customWidth="1"/>
    <col min="15879" max="15879" width="19.140625" style="588" customWidth="1"/>
    <col min="15880" max="15880" width="8.140625" style="588" customWidth="1"/>
    <col min="15881" max="15881" width="12.140625" style="588" customWidth="1"/>
    <col min="15882" max="15882" width="14.42578125" style="588" customWidth="1"/>
    <col min="15883" max="15883" width="13.5703125" style="588" customWidth="1"/>
    <col min="15884" max="16127" width="9.140625" style="588"/>
    <col min="16128" max="16128" width="5.5703125" style="588" customWidth="1"/>
    <col min="16129" max="16129" width="11.5703125" style="588" customWidth="1"/>
    <col min="16130" max="16130" width="35.7109375" style="588" customWidth="1"/>
    <col min="16131" max="16131" width="9.140625" style="588" customWidth="1"/>
    <col min="16132" max="16132" width="11.5703125" style="588" customWidth="1"/>
    <col min="16133" max="16133" width="15.7109375" style="588" customWidth="1"/>
    <col min="16134" max="16134" width="13.42578125" style="588" customWidth="1"/>
    <col min="16135" max="16135" width="19.140625" style="588" customWidth="1"/>
    <col min="16136" max="16136" width="8.140625" style="588" customWidth="1"/>
    <col min="16137" max="16137" width="12.140625" style="588" customWidth="1"/>
    <col min="16138" max="16138" width="14.42578125" style="588" customWidth="1"/>
    <col min="16139" max="16139" width="13.5703125" style="588" customWidth="1"/>
    <col min="16140" max="16384" width="9.140625" style="588"/>
  </cols>
  <sheetData>
    <row r="1" spans="1:16" ht="20.25" customHeight="1" x14ac:dyDescent="0.2">
      <c r="A1" s="943" t="s">
        <v>550</v>
      </c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</row>
    <row r="2" spans="1:16" ht="20.25" customHeight="1" x14ac:dyDescent="0.2">
      <c r="A2" s="944" t="s">
        <v>551</v>
      </c>
      <c r="B2" s="945" t="s">
        <v>1</v>
      </c>
      <c r="C2" s="945" t="s">
        <v>552</v>
      </c>
      <c r="D2" s="946" t="s">
        <v>553</v>
      </c>
      <c r="E2" s="942" t="s">
        <v>554</v>
      </c>
      <c r="F2" s="947" t="s">
        <v>4</v>
      </c>
      <c r="G2" s="948"/>
      <c r="H2" s="948"/>
      <c r="I2" s="948"/>
      <c r="J2" s="949"/>
      <c r="K2" s="942" t="s">
        <v>555</v>
      </c>
      <c r="L2" s="590" t="s">
        <v>4</v>
      </c>
      <c r="M2" s="942" t="s">
        <v>811</v>
      </c>
      <c r="N2" s="939" t="s">
        <v>556</v>
      </c>
      <c r="O2" s="942" t="s">
        <v>812</v>
      </c>
    </row>
    <row r="3" spans="1:16" ht="36" customHeight="1" x14ac:dyDescent="0.2">
      <c r="A3" s="944"/>
      <c r="B3" s="945"/>
      <c r="C3" s="945"/>
      <c r="D3" s="946"/>
      <c r="E3" s="942"/>
      <c r="F3" s="942" t="s">
        <v>557</v>
      </c>
      <c r="G3" s="939" t="s">
        <v>558</v>
      </c>
      <c r="H3" s="942" t="s">
        <v>559</v>
      </c>
      <c r="I3" s="590" t="s">
        <v>765</v>
      </c>
      <c r="J3" s="590" t="s">
        <v>766</v>
      </c>
      <c r="K3" s="942"/>
      <c r="L3" s="942" t="s">
        <v>560</v>
      </c>
      <c r="M3" s="942"/>
      <c r="N3" s="940"/>
      <c r="O3" s="942"/>
    </row>
    <row r="4" spans="1:16" ht="27" customHeight="1" x14ac:dyDescent="0.2">
      <c r="A4" s="944"/>
      <c r="B4" s="945"/>
      <c r="C4" s="945"/>
      <c r="D4" s="946"/>
      <c r="E4" s="942"/>
      <c r="F4" s="942"/>
      <c r="G4" s="941"/>
      <c r="H4" s="942"/>
      <c r="I4" s="590" t="s">
        <v>767</v>
      </c>
      <c r="J4" s="590" t="s">
        <v>768</v>
      </c>
      <c r="K4" s="942"/>
      <c r="L4" s="942"/>
      <c r="M4" s="942"/>
      <c r="N4" s="941"/>
      <c r="O4" s="942"/>
    </row>
    <row r="5" spans="1:16" x14ac:dyDescent="0.2">
      <c r="A5" s="591">
        <v>1</v>
      </c>
      <c r="B5" s="114" t="s">
        <v>44</v>
      </c>
      <c r="C5" s="592" t="s">
        <v>45</v>
      </c>
      <c r="D5" s="593" t="s">
        <v>561</v>
      </c>
      <c r="E5" s="594">
        <v>3076</v>
      </c>
      <c r="F5" s="594">
        <v>0</v>
      </c>
      <c r="G5" s="594">
        <v>0</v>
      </c>
      <c r="H5" s="594">
        <v>3076</v>
      </c>
      <c r="I5" s="594">
        <v>80</v>
      </c>
      <c r="J5" s="594"/>
      <c r="K5" s="918"/>
      <c r="L5" s="918"/>
      <c r="M5" s="594">
        <v>3076</v>
      </c>
      <c r="N5" s="594">
        <v>0</v>
      </c>
      <c r="O5" s="594">
        <f t="shared" ref="O5:O59" si="0">M5+N5</f>
        <v>3076</v>
      </c>
      <c r="P5" s="595"/>
    </row>
    <row r="6" spans="1:16" ht="11.25" customHeight="1" x14ac:dyDescent="0.2">
      <c r="A6" s="591">
        <v>2</v>
      </c>
      <c r="B6" s="115" t="s">
        <v>187</v>
      </c>
      <c r="C6" s="592" t="s">
        <v>188</v>
      </c>
      <c r="D6" s="593" t="s">
        <v>561</v>
      </c>
      <c r="E6" s="594">
        <v>1859</v>
      </c>
      <c r="F6" s="594">
        <v>0</v>
      </c>
      <c r="G6" s="594">
        <v>0</v>
      </c>
      <c r="H6" s="594">
        <v>1859</v>
      </c>
      <c r="I6" s="594"/>
      <c r="J6" s="594"/>
      <c r="K6" s="918"/>
      <c r="L6" s="918"/>
      <c r="M6" s="594">
        <v>1859</v>
      </c>
      <c r="N6" s="594">
        <v>0</v>
      </c>
      <c r="O6" s="594">
        <f t="shared" si="0"/>
        <v>1859</v>
      </c>
    </row>
    <row r="7" spans="1:16" x14ac:dyDescent="0.2">
      <c r="A7" s="591">
        <v>3</v>
      </c>
      <c r="B7" s="114" t="s">
        <v>46</v>
      </c>
      <c r="C7" s="592" t="s">
        <v>47</v>
      </c>
      <c r="D7" s="593" t="s">
        <v>561</v>
      </c>
      <c r="E7" s="594">
        <v>3983</v>
      </c>
      <c r="F7" s="594">
        <v>0</v>
      </c>
      <c r="G7" s="594">
        <v>0</v>
      </c>
      <c r="H7" s="594">
        <v>3983</v>
      </c>
      <c r="I7" s="594"/>
      <c r="J7" s="594"/>
      <c r="K7" s="918"/>
      <c r="L7" s="918"/>
      <c r="M7" s="594">
        <v>3983</v>
      </c>
      <c r="N7" s="594">
        <v>0</v>
      </c>
      <c r="O7" s="594">
        <f t="shared" si="0"/>
        <v>3983</v>
      </c>
    </row>
    <row r="8" spans="1:16" x14ac:dyDescent="0.2">
      <c r="A8" s="591">
        <v>4</v>
      </c>
      <c r="B8" s="116" t="s">
        <v>16</v>
      </c>
      <c r="C8" s="592" t="s">
        <v>17</v>
      </c>
      <c r="D8" s="593" t="s">
        <v>561</v>
      </c>
      <c r="E8" s="594">
        <v>2183</v>
      </c>
      <c r="F8" s="594">
        <v>0</v>
      </c>
      <c r="G8" s="594">
        <v>0</v>
      </c>
      <c r="H8" s="594">
        <v>2183</v>
      </c>
      <c r="I8" s="594">
        <v>1</v>
      </c>
      <c r="J8" s="594"/>
      <c r="K8" s="918"/>
      <c r="L8" s="918"/>
      <c r="M8" s="594">
        <v>2183</v>
      </c>
      <c r="N8" s="594">
        <v>0</v>
      </c>
      <c r="O8" s="594">
        <f t="shared" si="0"/>
        <v>2183</v>
      </c>
    </row>
    <row r="9" spans="1:16" x14ac:dyDescent="0.2">
      <c r="A9" s="591">
        <v>5</v>
      </c>
      <c r="B9" s="114" t="s">
        <v>48</v>
      </c>
      <c r="C9" s="592" t="s">
        <v>49</v>
      </c>
      <c r="D9" s="593" t="s">
        <v>561</v>
      </c>
      <c r="E9" s="594">
        <v>6424</v>
      </c>
      <c r="F9" s="594">
        <v>0</v>
      </c>
      <c r="G9" s="594">
        <v>0</v>
      </c>
      <c r="H9" s="594">
        <v>6424</v>
      </c>
      <c r="I9" s="594">
        <v>150</v>
      </c>
      <c r="J9" s="594">
        <v>35</v>
      </c>
      <c r="K9" s="918"/>
      <c r="L9" s="918"/>
      <c r="M9" s="594">
        <v>6424</v>
      </c>
      <c r="N9" s="594">
        <v>0</v>
      </c>
      <c r="O9" s="594">
        <f t="shared" si="0"/>
        <v>6424</v>
      </c>
    </row>
    <row r="10" spans="1:16" x14ac:dyDescent="0.2">
      <c r="A10" s="591">
        <v>6</v>
      </c>
      <c r="B10" s="116" t="s">
        <v>101</v>
      </c>
      <c r="C10" s="592" t="s">
        <v>102</v>
      </c>
      <c r="D10" s="593" t="s">
        <v>561</v>
      </c>
      <c r="E10" s="594">
        <v>2920</v>
      </c>
      <c r="F10" s="594">
        <v>1</v>
      </c>
      <c r="G10" s="594">
        <v>0</v>
      </c>
      <c r="H10" s="594">
        <v>2919</v>
      </c>
      <c r="I10" s="594">
        <v>5</v>
      </c>
      <c r="J10" s="594"/>
      <c r="K10" s="918"/>
      <c r="L10" s="918"/>
      <c r="M10" s="594">
        <v>2920</v>
      </c>
      <c r="N10" s="594">
        <v>0</v>
      </c>
      <c r="O10" s="594">
        <f t="shared" si="0"/>
        <v>2920</v>
      </c>
    </row>
    <row r="11" spans="1:16" s="600" customFormat="1" x14ac:dyDescent="0.2">
      <c r="A11" s="596">
        <v>7</v>
      </c>
      <c r="B11" s="117" t="s">
        <v>18</v>
      </c>
      <c r="C11" s="597" t="s">
        <v>19</v>
      </c>
      <c r="D11" s="598" t="s">
        <v>561</v>
      </c>
      <c r="E11" s="599">
        <v>1780</v>
      </c>
      <c r="F11" s="599">
        <v>3</v>
      </c>
      <c r="G11" s="599">
        <v>0</v>
      </c>
      <c r="H11" s="599">
        <v>1777</v>
      </c>
      <c r="I11" s="599"/>
      <c r="J11" s="599"/>
      <c r="K11" s="598"/>
      <c r="L11" s="598"/>
      <c r="M11" s="599">
        <v>1780</v>
      </c>
      <c r="N11" s="594">
        <v>0</v>
      </c>
      <c r="O11" s="599">
        <f t="shared" si="0"/>
        <v>1780</v>
      </c>
    </row>
    <row r="12" spans="1:16" x14ac:dyDescent="0.2">
      <c r="A12" s="591">
        <v>8</v>
      </c>
      <c r="B12" s="114" t="s">
        <v>189</v>
      </c>
      <c r="C12" s="592" t="s">
        <v>190</v>
      </c>
      <c r="D12" s="593" t="s">
        <v>561</v>
      </c>
      <c r="E12" s="594">
        <v>2100</v>
      </c>
      <c r="F12" s="594">
        <v>0</v>
      </c>
      <c r="G12" s="594">
        <v>0</v>
      </c>
      <c r="H12" s="594">
        <v>2100</v>
      </c>
      <c r="I12" s="594"/>
      <c r="J12" s="594"/>
      <c r="K12" s="918"/>
      <c r="L12" s="918"/>
      <c r="M12" s="594">
        <v>2100</v>
      </c>
      <c r="N12" s="594">
        <v>0</v>
      </c>
      <c r="O12" s="594">
        <f t="shared" si="0"/>
        <v>2100</v>
      </c>
    </row>
    <row r="13" spans="1:16" ht="12" customHeight="1" x14ac:dyDescent="0.2">
      <c r="A13" s="591">
        <v>9</v>
      </c>
      <c r="B13" s="601" t="s">
        <v>105</v>
      </c>
      <c r="C13" s="592" t="s">
        <v>106</v>
      </c>
      <c r="D13" s="593" t="s">
        <v>561</v>
      </c>
      <c r="E13" s="594">
        <v>2272</v>
      </c>
      <c r="F13" s="594">
        <v>0</v>
      </c>
      <c r="G13" s="594">
        <v>0</v>
      </c>
      <c r="H13" s="594">
        <v>2272</v>
      </c>
      <c r="I13" s="594"/>
      <c r="J13" s="594"/>
      <c r="K13" s="918"/>
      <c r="L13" s="918"/>
      <c r="M13" s="594">
        <v>2272</v>
      </c>
      <c r="N13" s="594">
        <v>0</v>
      </c>
      <c r="O13" s="594">
        <f t="shared" si="0"/>
        <v>2272</v>
      </c>
    </row>
    <row r="14" spans="1:16" x14ac:dyDescent="0.2">
      <c r="A14" s="591">
        <v>10</v>
      </c>
      <c r="B14" s="114" t="s">
        <v>191</v>
      </c>
      <c r="C14" s="592" t="s">
        <v>192</v>
      </c>
      <c r="D14" s="593" t="s">
        <v>561</v>
      </c>
      <c r="E14" s="594">
        <v>5032</v>
      </c>
      <c r="F14" s="594">
        <v>0</v>
      </c>
      <c r="G14" s="594">
        <v>0</v>
      </c>
      <c r="H14" s="594">
        <v>5032</v>
      </c>
      <c r="I14" s="594"/>
      <c r="J14" s="594"/>
      <c r="K14" s="918"/>
      <c r="L14" s="918"/>
      <c r="M14" s="594">
        <v>5032</v>
      </c>
      <c r="N14" s="594">
        <v>0</v>
      </c>
      <c r="O14" s="594">
        <f t="shared" si="0"/>
        <v>5032</v>
      </c>
    </row>
    <row r="15" spans="1:16" x14ac:dyDescent="0.2">
      <c r="A15" s="591">
        <v>11</v>
      </c>
      <c r="B15" s="115" t="s">
        <v>193</v>
      </c>
      <c r="C15" s="592" t="s">
        <v>194</v>
      </c>
      <c r="D15" s="593" t="s">
        <v>561</v>
      </c>
      <c r="E15" s="594">
        <v>2491</v>
      </c>
      <c r="F15" s="594">
        <v>0</v>
      </c>
      <c r="G15" s="594">
        <v>0</v>
      </c>
      <c r="H15" s="594">
        <v>2491</v>
      </c>
      <c r="I15" s="594"/>
      <c r="J15" s="594"/>
      <c r="K15" s="918"/>
      <c r="L15" s="918"/>
      <c r="M15" s="594">
        <v>2491</v>
      </c>
      <c r="N15" s="594">
        <v>0</v>
      </c>
      <c r="O15" s="594">
        <f t="shared" si="0"/>
        <v>2491</v>
      </c>
    </row>
    <row r="16" spans="1:16" x14ac:dyDescent="0.2">
      <c r="A16" s="591">
        <v>12</v>
      </c>
      <c r="B16" s="115" t="s">
        <v>195</v>
      </c>
      <c r="C16" s="592" t="s">
        <v>196</v>
      </c>
      <c r="D16" s="593" t="s">
        <v>561</v>
      </c>
      <c r="E16" s="594">
        <v>3406</v>
      </c>
      <c r="F16" s="594">
        <v>2</v>
      </c>
      <c r="G16" s="594">
        <v>0</v>
      </c>
      <c r="H16" s="594">
        <v>3404</v>
      </c>
      <c r="I16" s="594">
        <v>4</v>
      </c>
      <c r="J16" s="594"/>
      <c r="K16" s="918"/>
      <c r="L16" s="918"/>
      <c r="M16" s="594">
        <v>3406</v>
      </c>
      <c r="N16" s="594">
        <v>0</v>
      </c>
      <c r="O16" s="594">
        <f t="shared" si="0"/>
        <v>3406</v>
      </c>
    </row>
    <row r="17" spans="1:15" x14ac:dyDescent="0.2">
      <c r="A17" s="591">
        <v>13</v>
      </c>
      <c r="B17" s="116" t="s">
        <v>22</v>
      </c>
      <c r="C17" s="592" t="s">
        <v>23</v>
      </c>
      <c r="D17" s="593" t="s">
        <v>561</v>
      </c>
      <c r="E17" s="594">
        <v>1969</v>
      </c>
      <c r="F17" s="594">
        <v>0</v>
      </c>
      <c r="G17" s="594">
        <v>0</v>
      </c>
      <c r="H17" s="594">
        <v>1969</v>
      </c>
      <c r="I17" s="594"/>
      <c r="J17" s="594"/>
      <c r="K17" s="918"/>
      <c r="L17" s="918"/>
      <c r="M17" s="594">
        <v>1969</v>
      </c>
      <c r="N17" s="594">
        <v>0</v>
      </c>
      <c r="O17" s="594">
        <f t="shared" si="0"/>
        <v>1969</v>
      </c>
    </row>
    <row r="18" spans="1:15" x14ac:dyDescent="0.2">
      <c r="A18" s="591">
        <v>14</v>
      </c>
      <c r="B18" s="116" t="s">
        <v>52</v>
      </c>
      <c r="C18" s="592" t="s">
        <v>53</v>
      </c>
      <c r="D18" s="593" t="s">
        <v>561</v>
      </c>
      <c r="E18" s="594">
        <v>1601</v>
      </c>
      <c r="F18" s="594">
        <v>0</v>
      </c>
      <c r="G18" s="594">
        <v>0</v>
      </c>
      <c r="H18" s="594">
        <v>1601</v>
      </c>
      <c r="I18" s="594">
        <v>1</v>
      </c>
      <c r="J18" s="594"/>
      <c r="K18" s="918"/>
      <c r="L18" s="918"/>
      <c r="M18" s="594">
        <v>1601</v>
      </c>
      <c r="N18" s="594">
        <v>0</v>
      </c>
      <c r="O18" s="594">
        <f t="shared" si="0"/>
        <v>1601</v>
      </c>
    </row>
    <row r="19" spans="1:15" x14ac:dyDescent="0.2">
      <c r="A19" s="591">
        <v>15</v>
      </c>
      <c r="B19" s="116" t="s">
        <v>24</v>
      </c>
      <c r="C19" s="592" t="s">
        <v>25</v>
      </c>
      <c r="D19" s="593" t="s">
        <v>561</v>
      </c>
      <c r="E19" s="594">
        <v>2372</v>
      </c>
      <c r="F19" s="594">
        <v>0</v>
      </c>
      <c r="G19" s="594">
        <v>0</v>
      </c>
      <c r="H19" s="594">
        <v>2372</v>
      </c>
      <c r="I19" s="594"/>
      <c r="J19" s="594"/>
      <c r="K19" s="918"/>
      <c r="L19" s="918"/>
      <c r="M19" s="594">
        <v>2372</v>
      </c>
      <c r="N19" s="594">
        <v>0</v>
      </c>
      <c r="O19" s="594">
        <f t="shared" si="0"/>
        <v>2372</v>
      </c>
    </row>
    <row r="20" spans="1:15" x14ac:dyDescent="0.2">
      <c r="A20" s="591">
        <v>16</v>
      </c>
      <c r="B20" s="114" t="s">
        <v>107</v>
      </c>
      <c r="C20" s="592" t="s">
        <v>108</v>
      </c>
      <c r="D20" s="593" t="s">
        <v>561</v>
      </c>
      <c r="E20" s="594">
        <v>3369</v>
      </c>
      <c r="F20" s="594">
        <v>1</v>
      </c>
      <c r="G20" s="594">
        <v>0</v>
      </c>
      <c r="H20" s="594">
        <v>3368</v>
      </c>
      <c r="I20" s="594"/>
      <c r="J20" s="594"/>
      <c r="K20" s="918"/>
      <c r="L20" s="918"/>
      <c r="M20" s="594">
        <v>3369</v>
      </c>
      <c r="N20" s="594">
        <v>0</v>
      </c>
      <c r="O20" s="594">
        <f t="shared" si="0"/>
        <v>3369</v>
      </c>
    </row>
    <row r="21" spans="1:15" x14ac:dyDescent="0.2">
      <c r="A21" s="591">
        <v>17</v>
      </c>
      <c r="B21" s="115" t="s">
        <v>109</v>
      </c>
      <c r="C21" s="592" t="s">
        <v>110</v>
      </c>
      <c r="D21" s="593" t="s">
        <v>561</v>
      </c>
      <c r="E21" s="594">
        <v>4143</v>
      </c>
      <c r="F21" s="594">
        <v>0</v>
      </c>
      <c r="G21" s="594">
        <v>0</v>
      </c>
      <c r="H21" s="594">
        <v>4143</v>
      </c>
      <c r="I21" s="594">
        <v>10</v>
      </c>
      <c r="J21" s="594"/>
      <c r="K21" s="918"/>
      <c r="L21" s="918"/>
      <c r="M21" s="594">
        <v>4143</v>
      </c>
      <c r="N21" s="594">
        <v>0</v>
      </c>
      <c r="O21" s="594">
        <f t="shared" si="0"/>
        <v>4143</v>
      </c>
    </row>
    <row r="22" spans="1:15" x14ac:dyDescent="0.2">
      <c r="A22" s="591">
        <v>18</v>
      </c>
      <c r="B22" s="114" t="s">
        <v>111</v>
      </c>
      <c r="C22" s="592" t="s">
        <v>112</v>
      </c>
      <c r="D22" s="593" t="s">
        <v>561</v>
      </c>
      <c r="E22" s="594">
        <v>1561</v>
      </c>
      <c r="F22" s="594">
        <v>0</v>
      </c>
      <c r="G22" s="594">
        <v>0</v>
      </c>
      <c r="H22" s="594">
        <v>1561</v>
      </c>
      <c r="I22" s="594"/>
      <c r="J22" s="594"/>
      <c r="K22" s="918"/>
      <c r="L22" s="918"/>
      <c r="M22" s="594">
        <v>1561</v>
      </c>
      <c r="N22" s="594">
        <v>0</v>
      </c>
      <c r="O22" s="594">
        <f t="shared" si="0"/>
        <v>1561</v>
      </c>
    </row>
    <row r="23" spans="1:15" x14ac:dyDescent="0.2">
      <c r="A23" s="591">
        <v>19</v>
      </c>
      <c r="B23" s="116" t="s">
        <v>54</v>
      </c>
      <c r="C23" s="592" t="s">
        <v>55</v>
      </c>
      <c r="D23" s="593" t="s">
        <v>561</v>
      </c>
      <c r="E23" s="594">
        <v>1524</v>
      </c>
      <c r="F23" s="594">
        <v>0</v>
      </c>
      <c r="G23" s="594">
        <v>0</v>
      </c>
      <c r="H23" s="594">
        <v>1524</v>
      </c>
      <c r="I23" s="594"/>
      <c r="J23" s="594"/>
      <c r="K23" s="918"/>
      <c r="L23" s="918"/>
      <c r="M23" s="594">
        <v>1524</v>
      </c>
      <c r="N23" s="594">
        <v>0</v>
      </c>
      <c r="O23" s="594">
        <f t="shared" si="0"/>
        <v>1524</v>
      </c>
    </row>
    <row r="24" spans="1:15" x14ac:dyDescent="0.2">
      <c r="A24" s="591">
        <v>20</v>
      </c>
      <c r="B24" s="116" t="s">
        <v>197</v>
      </c>
      <c r="C24" s="592" t="s">
        <v>198</v>
      </c>
      <c r="D24" s="593" t="s">
        <v>561</v>
      </c>
      <c r="E24" s="594">
        <v>3483</v>
      </c>
      <c r="F24" s="594">
        <v>0</v>
      </c>
      <c r="G24" s="594">
        <v>0</v>
      </c>
      <c r="H24" s="594">
        <v>3483</v>
      </c>
      <c r="I24" s="594"/>
      <c r="J24" s="594"/>
      <c r="K24" s="918"/>
      <c r="L24" s="918"/>
      <c r="M24" s="594">
        <v>3483</v>
      </c>
      <c r="N24" s="594">
        <v>0</v>
      </c>
      <c r="O24" s="594">
        <f t="shared" si="0"/>
        <v>3483</v>
      </c>
    </row>
    <row r="25" spans="1:15" x14ac:dyDescent="0.2">
      <c r="A25" s="591">
        <v>21</v>
      </c>
      <c r="B25" s="115" t="s">
        <v>81</v>
      </c>
      <c r="C25" s="592" t="s">
        <v>82</v>
      </c>
      <c r="D25" s="593" t="s">
        <v>561</v>
      </c>
      <c r="E25" s="594">
        <v>2813</v>
      </c>
      <c r="F25" s="594">
        <v>0</v>
      </c>
      <c r="G25" s="594">
        <v>0</v>
      </c>
      <c r="H25" s="594">
        <v>2813</v>
      </c>
      <c r="I25" s="594">
        <v>8</v>
      </c>
      <c r="J25" s="594"/>
      <c r="K25" s="918"/>
      <c r="L25" s="918"/>
      <c r="M25" s="594">
        <v>2813</v>
      </c>
      <c r="N25" s="594">
        <v>0</v>
      </c>
      <c r="O25" s="594">
        <f t="shared" si="0"/>
        <v>2813</v>
      </c>
    </row>
    <row r="26" spans="1:15" x14ac:dyDescent="0.2">
      <c r="A26" s="591">
        <v>22</v>
      </c>
      <c r="B26" s="114" t="s">
        <v>30</v>
      </c>
      <c r="C26" s="592" t="s">
        <v>31</v>
      </c>
      <c r="D26" s="593" t="s">
        <v>561</v>
      </c>
      <c r="E26" s="594">
        <v>1950</v>
      </c>
      <c r="F26" s="594">
        <v>2</v>
      </c>
      <c r="G26" s="594">
        <v>0</v>
      </c>
      <c r="H26" s="594">
        <v>1948</v>
      </c>
      <c r="I26" s="594"/>
      <c r="J26" s="594"/>
      <c r="K26" s="918"/>
      <c r="L26" s="918"/>
      <c r="M26" s="594">
        <v>1950</v>
      </c>
      <c r="N26" s="594">
        <v>0</v>
      </c>
      <c r="O26" s="594">
        <f t="shared" si="0"/>
        <v>1950</v>
      </c>
    </row>
    <row r="27" spans="1:15" x14ac:dyDescent="0.2">
      <c r="A27" s="591">
        <v>23</v>
      </c>
      <c r="B27" s="114" t="s">
        <v>32</v>
      </c>
      <c r="C27" s="592" t="s">
        <v>33</v>
      </c>
      <c r="D27" s="593" t="s">
        <v>561</v>
      </c>
      <c r="E27" s="594">
        <v>2882</v>
      </c>
      <c r="F27" s="594">
        <v>0</v>
      </c>
      <c r="G27" s="594">
        <v>0</v>
      </c>
      <c r="H27" s="594">
        <v>2882</v>
      </c>
      <c r="I27" s="594">
        <v>1</v>
      </c>
      <c r="J27" s="594"/>
      <c r="K27" s="918"/>
      <c r="L27" s="918"/>
      <c r="M27" s="594">
        <v>2882</v>
      </c>
      <c r="N27" s="594">
        <v>0</v>
      </c>
      <c r="O27" s="594">
        <f t="shared" si="0"/>
        <v>2882</v>
      </c>
    </row>
    <row r="28" spans="1:15" x14ac:dyDescent="0.2">
      <c r="A28" s="591">
        <v>24</v>
      </c>
      <c r="B28" s="116" t="s">
        <v>199</v>
      </c>
      <c r="C28" s="592" t="s">
        <v>200</v>
      </c>
      <c r="D28" s="593" t="s">
        <v>561</v>
      </c>
      <c r="E28" s="594">
        <v>4506</v>
      </c>
      <c r="F28" s="594">
        <v>2</v>
      </c>
      <c r="G28" s="594">
        <v>0</v>
      </c>
      <c r="H28" s="594">
        <v>4504</v>
      </c>
      <c r="I28" s="594">
        <v>1</v>
      </c>
      <c r="J28" s="594"/>
      <c r="K28" s="918"/>
      <c r="L28" s="918"/>
      <c r="M28" s="594">
        <v>4506</v>
      </c>
      <c r="N28" s="594">
        <v>0</v>
      </c>
      <c r="O28" s="594">
        <f t="shared" si="0"/>
        <v>4506</v>
      </c>
    </row>
    <row r="29" spans="1:15" x14ac:dyDescent="0.2">
      <c r="A29" s="591">
        <v>25</v>
      </c>
      <c r="B29" s="114" t="s">
        <v>201</v>
      </c>
      <c r="C29" s="592" t="s">
        <v>202</v>
      </c>
      <c r="D29" s="593" t="s">
        <v>561</v>
      </c>
      <c r="E29" s="594">
        <v>1637</v>
      </c>
      <c r="F29" s="594">
        <v>0</v>
      </c>
      <c r="G29" s="594">
        <v>0</v>
      </c>
      <c r="H29" s="594">
        <v>1637</v>
      </c>
      <c r="I29" s="594"/>
      <c r="J29" s="594"/>
      <c r="K29" s="918"/>
      <c r="L29" s="918"/>
      <c r="M29" s="594">
        <v>1637</v>
      </c>
      <c r="N29" s="594">
        <v>0</v>
      </c>
      <c r="O29" s="594">
        <f t="shared" si="0"/>
        <v>1637</v>
      </c>
    </row>
    <row r="30" spans="1:15" x14ac:dyDescent="0.2">
      <c r="A30" s="591">
        <v>26</v>
      </c>
      <c r="B30" s="114" t="s">
        <v>34</v>
      </c>
      <c r="C30" s="592" t="s">
        <v>35</v>
      </c>
      <c r="D30" s="593" t="s">
        <v>561</v>
      </c>
      <c r="E30" s="594">
        <v>2065</v>
      </c>
      <c r="F30" s="594">
        <v>0</v>
      </c>
      <c r="G30" s="594">
        <v>0</v>
      </c>
      <c r="H30" s="594">
        <v>2065</v>
      </c>
      <c r="I30" s="594"/>
      <c r="J30" s="594"/>
      <c r="K30" s="918"/>
      <c r="L30" s="918"/>
      <c r="M30" s="594">
        <v>2065</v>
      </c>
      <c r="N30" s="594">
        <v>0</v>
      </c>
      <c r="O30" s="594">
        <f t="shared" si="0"/>
        <v>2065</v>
      </c>
    </row>
    <row r="31" spans="1:15" x14ac:dyDescent="0.2">
      <c r="A31" s="591">
        <v>27</v>
      </c>
      <c r="B31" s="115" t="s">
        <v>85</v>
      </c>
      <c r="C31" s="592" t="s">
        <v>86</v>
      </c>
      <c r="D31" s="593" t="s">
        <v>561</v>
      </c>
      <c r="E31" s="594">
        <v>3151</v>
      </c>
      <c r="F31" s="594">
        <v>0</v>
      </c>
      <c r="G31" s="594">
        <v>0</v>
      </c>
      <c r="H31" s="594">
        <v>3151</v>
      </c>
      <c r="I31" s="594">
        <v>2</v>
      </c>
      <c r="J31" s="594"/>
      <c r="K31" s="918"/>
      <c r="L31" s="918"/>
      <c r="M31" s="594">
        <v>3151</v>
      </c>
      <c r="N31" s="594">
        <v>0</v>
      </c>
      <c r="O31" s="594">
        <f t="shared" si="0"/>
        <v>3151</v>
      </c>
    </row>
    <row r="32" spans="1:15" x14ac:dyDescent="0.2">
      <c r="A32" s="591">
        <v>28</v>
      </c>
      <c r="B32" s="116" t="s">
        <v>203</v>
      </c>
      <c r="C32" s="592" t="s">
        <v>204</v>
      </c>
      <c r="D32" s="593" t="s">
        <v>561</v>
      </c>
      <c r="E32" s="594">
        <v>2485</v>
      </c>
      <c r="F32" s="594">
        <v>0</v>
      </c>
      <c r="G32" s="594">
        <v>0</v>
      </c>
      <c r="H32" s="594">
        <v>2485</v>
      </c>
      <c r="I32" s="594"/>
      <c r="J32" s="594"/>
      <c r="K32" s="918"/>
      <c r="L32" s="918"/>
      <c r="M32" s="594">
        <v>2485</v>
      </c>
      <c r="N32" s="594">
        <v>0</v>
      </c>
      <c r="O32" s="594">
        <f t="shared" si="0"/>
        <v>2485</v>
      </c>
    </row>
    <row r="33" spans="1:15" x14ac:dyDescent="0.2">
      <c r="A33" s="591">
        <v>29</v>
      </c>
      <c r="B33" s="114" t="s">
        <v>36</v>
      </c>
      <c r="C33" s="592" t="s">
        <v>37</v>
      </c>
      <c r="D33" s="593" t="s">
        <v>561</v>
      </c>
      <c r="E33" s="594">
        <v>2610</v>
      </c>
      <c r="F33" s="594">
        <v>0</v>
      </c>
      <c r="G33" s="594">
        <v>0</v>
      </c>
      <c r="H33" s="594">
        <v>2610</v>
      </c>
      <c r="I33" s="594"/>
      <c r="J33" s="594"/>
      <c r="K33" s="918"/>
      <c r="L33" s="918"/>
      <c r="M33" s="594">
        <v>2610</v>
      </c>
      <c r="N33" s="594">
        <v>0</v>
      </c>
      <c r="O33" s="594">
        <f t="shared" si="0"/>
        <v>2610</v>
      </c>
    </row>
    <row r="34" spans="1:15" x14ac:dyDescent="0.2">
      <c r="A34" s="591">
        <v>30</v>
      </c>
      <c r="B34" s="115" t="s">
        <v>113</v>
      </c>
      <c r="C34" s="592" t="s">
        <v>114</v>
      </c>
      <c r="D34" s="593" t="s">
        <v>561</v>
      </c>
      <c r="E34" s="594">
        <v>2983</v>
      </c>
      <c r="F34" s="594">
        <v>0</v>
      </c>
      <c r="G34" s="594">
        <v>0</v>
      </c>
      <c r="H34" s="594">
        <v>2983</v>
      </c>
      <c r="I34" s="594">
        <v>3</v>
      </c>
      <c r="J34" s="594"/>
      <c r="K34" s="918"/>
      <c r="L34" s="918"/>
      <c r="M34" s="594">
        <v>2983</v>
      </c>
      <c r="N34" s="594">
        <v>0</v>
      </c>
      <c r="O34" s="594">
        <f t="shared" si="0"/>
        <v>2983</v>
      </c>
    </row>
    <row r="35" spans="1:15" x14ac:dyDescent="0.2">
      <c r="A35" s="591">
        <v>31</v>
      </c>
      <c r="B35" s="602" t="s">
        <v>89</v>
      </c>
      <c r="C35" s="592" t="s">
        <v>90</v>
      </c>
      <c r="D35" s="593" t="s">
        <v>561</v>
      </c>
      <c r="E35" s="594">
        <v>3248</v>
      </c>
      <c r="F35" s="594">
        <v>0</v>
      </c>
      <c r="G35" s="594">
        <v>0</v>
      </c>
      <c r="H35" s="594">
        <v>3248</v>
      </c>
      <c r="I35" s="594">
        <v>4</v>
      </c>
      <c r="J35" s="594"/>
      <c r="K35" s="918"/>
      <c r="L35" s="918"/>
      <c r="M35" s="594">
        <v>3248</v>
      </c>
      <c r="N35" s="594">
        <v>0</v>
      </c>
      <c r="O35" s="594">
        <f t="shared" si="0"/>
        <v>3248</v>
      </c>
    </row>
    <row r="36" spans="1:15" x14ac:dyDescent="0.2">
      <c r="A36" s="591">
        <v>32</v>
      </c>
      <c r="B36" s="114" t="s">
        <v>209</v>
      </c>
      <c r="C36" s="592" t="s">
        <v>210</v>
      </c>
      <c r="D36" s="593" t="s">
        <v>561</v>
      </c>
      <c r="E36" s="594">
        <v>1934</v>
      </c>
      <c r="F36" s="594">
        <v>0</v>
      </c>
      <c r="G36" s="594">
        <v>0</v>
      </c>
      <c r="H36" s="594">
        <v>1934</v>
      </c>
      <c r="I36" s="594">
        <v>3</v>
      </c>
      <c r="J36" s="594"/>
      <c r="K36" s="918"/>
      <c r="L36" s="918"/>
      <c r="M36" s="594">
        <v>1934</v>
      </c>
      <c r="N36" s="594">
        <v>0</v>
      </c>
      <c r="O36" s="594">
        <f t="shared" si="0"/>
        <v>1934</v>
      </c>
    </row>
    <row r="37" spans="1:15" x14ac:dyDescent="0.2">
      <c r="A37" s="591">
        <v>33</v>
      </c>
      <c r="B37" s="114" t="s">
        <v>115</v>
      </c>
      <c r="C37" s="592" t="s">
        <v>116</v>
      </c>
      <c r="D37" s="593" t="s">
        <v>561</v>
      </c>
      <c r="E37" s="594">
        <v>4229</v>
      </c>
      <c r="F37" s="594">
        <v>0</v>
      </c>
      <c r="G37" s="594">
        <v>0</v>
      </c>
      <c r="H37" s="594">
        <v>4229</v>
      </c>
      <c r="I37" s="594">
        <v>7</v>
      </c>
      <c r="J37" s="594"/>
      <c r="K37" s="918"/>
      <c r="L37" s="918"/>
      <c r="M37" s="594">
        <v>4229</v>
      </c>
      <c r="N37" s="594">
        <v>0</v>
      </c>
      <c r="O37" s="594">
        <f t="shared" si="0"/>
        <v>4229</v>
      </c>
    </row>
    <row r="38" spans="1:15" x14ac:dyDescent="0.2">
      <c r="A38" s="591">
        <v>34</v>
      </c>
      <c r="B38" s="116" t="s">
        <v>91</v>
      </c>
      <c r="C38" s="592" t="s">
        <v>92</v>
      </c>
      <c r="D38" s="593" t="s">
        <v>561</v>
      </c>
      <c r="E38" s="594">
        <v>1971</v>
      </c>
      <c r="F38" s="594">
        <v>0</v>
      </c>
      <c r="G38" s="594">
        <v>0</v>
      </c>
      <c r="H38" s="594">
        <v>1971</v>
      </c>
      <c r="I38" s="594"/>
      <c r="J38" s="594"/>
      <c r="K38" s="918"/>
      <c r="L38" s="918"/>
      <c r="M38" s="594">
        <v>1971</v>
      </c>
      <c r="N38" s="594">
        <v>0</v>
      </c>
      <c r="O38" s="594">
        <f t="shared" si="0"/>
        <v>1971</v>
      </c>
    </row>
    <row r="39" spans="1:15" x14ac:dyDescent="0.2">
      <c r="A39" s="591">
        <v>35</v>
      </c>
      <c r="B39" s="116" t="s">
        <v>93</v>
      </c>
      <c r="C39" s="592" t="s">
        <v>94</v>
      </c>
      <c r="D39" s="593" t="s">
        <v>561</v>
      </c>
      <c r="E39" s="594">
        <v>2741</v>
      </c>
      <c r="F39" s="594">
        <v>0</v>
      </c>
      <c r="G39" s="594">
        <v>0</v>
      </c>
      <c r="H39" s="594">
        <v>2741</v>
      </c>
      <c r="I39" s="594">
        <v>1</v>
      </c>
      <c r="J39" s="594"/>
      <c r="K39" s="918"/>
      <c r="L39" s="918"/>
      <c r="M39" s="594">
        <v>2741</v>
      </c>
      <c r="N39" s="594">
        <v>0</v>
      </c>
      <c r="O39" s="594">
        <f t="shared" si="0"/>
        <v>2741</v>
      </c>
    </row>
    <row r="40" spans="1:15" x14ac:dyDescent="0.2">
      <c r="A40" s="591">
        <v>36</v>
      </c>
      <c r="B40" s="114" t="s">
        <v>95</v>
      </c>
      <c r="C40" s="592" t="s">
        <v>96</v>
      </c>
      <c r="D40" s="593" t="s">
        <v>561</v>
      </c>
      <c r="E40" s="594">
        <v>1551</v>
      </c>
      <c r="F40" s="594">
        <v>0</v>
      </c>
      <c r="G40" s="594">
        <v>0</v>
      </c>
      <c r="H40" s="594">
        <v>1551</v>
      </c>
      <c r="I40" s="594"/>
      <c r="J40" s="594"/>
      <c r="K40" s="918"/>
      <c r="L40" s="918"/>
      <c r="M40" s="594">
        <v>1551</v>
      </c>
      <c r="N40" s="594">
        <v>0</v>
      </c>
      <c r="O40" s="594">
        <f t="shared" si="0"/>
        <v>1551</v>
      </c>
    </row>
    <row r="41" spans="1:15" x14ac:dyDescent="0.2">
      <c r="A41" s="591">
        <v>37</v>
      </c>
      <c r="B41" s="114" t="s">
        <v>211</v>
      </c>
      <c r="C41" s="592" t="s">
        <v>212</v>
      </c>
      <c r="D41" s="593" t="s">
        <v>561</v>
      </c>
      <c r="E41" s="594">
        <v>2751</v>
      </c>
      <c r="F41" s="594">
        <v>0</v>
      </c>
      <c r="G41" s="594">
        <v>0</v>
      </c>
      <c r="H41" s="594">
        <v>2751</v>
      </c>
      <c r="I41" s="594"/>
      <c r="J41" s="594"/>
      <c r="K41" s="918"/>
      <c r="L41" s="918"/>
      <c r="M41" s="594">
        <v>2751</v>
      </c>
      <c r="N41" s="594">
        <v>0</v>
      </c>
      <c r="O41" s="594">
        <f t="shared" si="0"/>
        <v>2751</v>
      </c>
    </row>
    <row r="42" spans="1:15" x14ac:dyDescent="0.2">
      <c r="A42" s="591">
        <v>38</v>
      </c>
      <c r="B42" s="116" t="s">
        <v>213</v>
      </c>
      <c r="C42" s="592" t="s">
        <v>214</v>
      </c>
      <c r="D42" s="593" t="s">
        <v>561</v>
      </c>
      <c r="E42" s="594">
        <v>4091</v>
      </c>
      <c r="F42" s="594">
        <v>0</v>
      </c>
      <c r="G42" s="594">
        <v>0</v>
      </c>
      <c r="H42" s="594">
        <v>4091</v>
      </c>
      <c r="I42" s="594">
        <v>5</v>
      </c>
      <c r="J42" s="594"/>
      <c r="K42" s="918"/>
      <c r="L42" s="918"/>
      <c r="M42" s="594">
        <v>4091</v>
      </c>
      <c r="N42" s="594">
        <v>0</v>
      </c>
      <c r="O42" s="594">
        <f t="shared" si="0"/>
        <v>4091</v>
      </c>
    </row>
    <row r="43" spans="1:15" x14ac:dyDescent="0.2">
      <c r="A43" s="591">
        <v>39</v>
      </c>
      <c r="B43" s="114" t="s">
        <v>119</v>
      </c>
      <c r="C43" s="592" t="s">
        <v>120</v>
      </c>
      <c r="D43" s="593" t="s">
        <v>561</v>
      </c>
      <c r="E43" s="594">
        <v>2501</v>
      </c>
      <c r="F43" s="594">
        <v>0</v>
      </c>
      <c r="G43" s="594">
        <v>0</v>
      </c>
      <c r="H43" s="594">
        <v>2501</v>
      </c>
      <c r="I43" s="594"/>
      <c r="J43" s="594"/>
      <c r="K43" s="918"/>
      <c r="L43" s="918"/>
      <c r="M43" s="594">
        <v>2501</v>
      </c>
      <c r="N43" s="594">
        <v>0</v>
      </c>
      <c r="O43" s="594">
        <f t="shared" si="0"/>
        <v>2501</v>
      </c>
    </row>
    <row r="44" spans="1:15" x14ac:dyDescent="0.2">
      <c r="A44" s="591">
        <v>40</v>
      </c>
      <c r="B44" s="115" t="s">
        <v>215</v>
      </c>
      <c r="C44" s="592" t="s">
        <v>216</v>
      </c>
      <c r="D44" s="593" t="s">
        <v>561</v>
      </c>
      <c r="E44" s="594">
        <v>2059</v>
      </c>
      <c r="F44" s="594">
        <v>0</v>
      </c>
      <c r="G44" s="594">
        <v>0</v>
      </c>
      <c r="H44" s="594">
        <v>2059</v>
      </c>
      <c r="I44" s="594"/>
      <c r="J44" s="594"/>
      <c r="K44" s="918"/>
      <c r="L44" s="918"/>
      <c r="M44" s="594">
        <v>2059</v>
      </c>
      <c r="N44" s="594">
        <v>0</v>
      </c>
      <c r="O44" s="594">
        <f t="shared" si="0"/>
        <v>2059</v>
      </c>
    </row>
    <row r="45" spans="1:15" x14ac:dyDescent="0.2">
      <c r="A45" s="591">
        <v>41</v>
      </c>
      <c r="B45" s="114" t="s">
        <v>38</v>
      </c>
      <c r="C45" s="592" t="s">
        <v>39</v>
      </c>
      <c r="D45" s="593" t="s">
        <v>561</v>
      </c>
      <c r="E45" s="594">
        <v>5154</v>
      </c>
      <c r="F45" s="594">
        <v>0</v>
      </c>
      <c r="G45" s="594">
        <v>0</v>
      </c>
      <c r="H45" s="594">
        <v>5154</v>
      </c>
      <c r="I45" s="594">
        <v>17</v>
      </c>
      <c r="J45" s="594"/>
      <c r="K45" s="918"/>
      <c r="L45" s="918"/>
      <c r="M45" s="594">
        <v>5154</v>
      </c>
      <c r="N45" s="594">
        <v>0</v>
      </c>
      <c r="O45" s="594">
        <f t="shared" si="0"/>
        <v>5154</v>
      </c>
    </row>
    <row r="46" spans="1:15" x14ac:dyDescent="0.2">
      <c r="A46" s="591">
        <v>42</v>
      </c>
      <c r="B46" s="116" t="s">
        <v>167</v>
      </c>
      <c r="C46" s="592" t="s">
        <v>562</v>
      </c>
      <c r="D46" s="593" t="s">
        <v>561</v>
      </c>
      <c r="E46" s="594">
        <v>875</v>
      </c>
      <c r="F46" s="594">
        <v>0</v>
      </c>
      <c r="G46" s="594">
        <v>0</v>
      </c>
      <c r="H46" s="594">
        <v>875</v>
      </c>
      <c r="I46" s="594"/>
      <c r="J46" s="594"/>
      <c r="K46" s="918"/>
      <c r="L46" s="918"/>
      <c r="M46" s="594">
        <v>875</v>
      </c>
      <c r="N46" s="594">
        <v>0</v>
      </c>
      <c r="O46" s="594">
        <f t="shared" si="0"/>
        <v>875</v>
      </c>
    </row>
    <row r="47" spans="1:15" x14ac:dyDescent="0.2">
      <c r="A47" s="591">
        <v>43</v>
      </c>
      <c r="B47" s="116" t="s">
        <v>163</v>
      </c>
      <c r="C47" s="592" t="s">
        <v>563</v>
      </c>
      <c r="D47" s="593" t="s">
        <v>564</v>
      </c>
      <c r="E47" s="594">
        <v>2823</v>
      </c>
      <c r="F47" s="594">
        <v>0</v>
      </c>
      <c r="G47" s="594">
        <v>0</v>
      </c>
      <c r="H47" s="594">
        <v>2823</v>
      </c>
      <c r="I47" s="594"/>
      <c r="J47" s="594"/>
      <c r="K47" s="918"/>
      <c r="L47" s="918"/>
      <c r="M47" s="594">
        <v>2823</v>
      </c>
      <c r="N47" s="594">
        <v>900</v>
      </c>
      <c r="O47" s="594">
        <f t="shared" si="0"/>
        <v>3723</v>
      </c>
    </row>
    <row r="48" spans="1:15" x14ac:dyDescent="0.2">
      <c r="A48" s="591">
        <v>44</v>
      </c>
      <c r="B48" s="114" t="s">
        <v>70</v>
      </c>
      <c r="C48" s="592" t="s">
        <v>565</v>
      </c>
      <c r="D48" s="593" t="s">
        <v>564</v>
      </c>
      <c r="E48" s="594">
        <v>5098</v>
      </c>
      <c r="F48" s="594">
        <v>0</v>
      </c>
      <c r="G48" s="594">
        <v>0</v>
      </c>
      <c r="H48" s="594">
        <v>5098</v>
      </c>
      <c r="I48" s="594"/>
      <c r="J48" s="594"/>
      <c r="K48" s="918"/>
      <c r="L48" s="918"/>
      <c r="M48" s="594">
        <v>5098</v>
      </c>
      <c r="N48" s="594">
        <v>360</v>
      </c>
      <c r="O48" s="594">
        <f t="shared" si="0"/>
        <v>5458</v>
      </c>
    </row>
    <row r="49" spans="1:17" x14ac:dyDescent="0.2">
      <c r="A49" s="591">
        <v>45</v>
      </c>
      <c r="B49" s="114" t="s">
        <v>280</v>
      </c>
      <c r="C49" s="592" t="s">
        <v>281</v>
      </c>
      <c r="D49" s="593" t="s">
        <v>564</v>
      </c>
      <c r="E49" s="594">
        <v>21976</v>
      </c>
      <c r="F49" s="594">
        <v>0</v>
      </c>
      <c r="G49" s="594">
        <v>11377</v>
      </c>
      <c r="H49" s="594">
        <v>10599</v>
      </c>
      <c r="I49" s="594"/>
      <c r="J49" s="594"/>
      <c r="K49" s="918"/>
      <c r="L49" s="918"/>
      <c r="M49" s="594">
        <v>21976</v>
      </c>
      <c r="N49" s="594">
        <v>0</v>
      </c>
      <c r="O49" s="594">
        <f t="shared" si="0"/>
        <v>21976</v>
      </c>
    </row>
    <row r="50" spans="1:17" x14ac:dyDescent="0.2">
      <c r="A50" s="591">
        <v>46</v>
      </c>
      <c r="B50" s="116" t="s">
        <v>103</v>
      </c>
      <c r="C50" s="592" t="s">
        <v>104</v>
      </c>
      <c r="D50" s="593" t="s">
        <v>566</v>
      </c>
      <c r="E50" s="594">
        <v>13032</v>
      </c>
      <c r="F50" s="594">
        <v>6</v>
      </c>
      <c r="G50" s="594">
        <v>0</v>
      </c>
      <c r="H50" s="594">
        <v>13026</v>
      </c>
      <c r="I50" s="594">
        <v>361</v>
      </c>
      <c r="J50" s="594">
        <v>66</v>
      </c>
      <c r="K50" s="918"/>
      <c r="L50" s="918"/>
      <c r="M50" s="594">
        <v>13032</v>
      </c>
      <c r="N50" s="594">
        <v>0</v>
      </c>
      <c r="O50" s="594">
        <f t="shared" si="0"/>
        <v>13032</v>
      </c>
    </row>
    <row r="51" spans="1:17" x14ac:dyDescent="0.2">
      <c r="A51" s="591">
        <v>47</v>
      </c>
      <c r="B51" s="114" t="s">
        <v>20</v>
      </c>
      <c r="C51" s="592" t="s">
        <v>21</v>
      </c>
      <c r="D51" s="593" t="s">
        <v>566</v>
      </c>
      <c r="E51" s="594">
        <v>8803</v>
      </c>
      <c r="F51" s="594">
        <v>0</v>
      </c>
      <c r="G51" s="594">
        <v>0</v>
      </c>
      <c r="H51" s="594">
        <v>8803</v>
      </c>
      <c r="I51" s="594">
        <v>310</v>
      </c>
      <c r="J51" s="594">
        <v>150</v>
      </c>
      <c r="K51" s="918"/>
      <c r="L51" s="918"/>
      <c r="M51" s="594">
        <v>8803</v>
      </c>
      <c r="N51" s="594">
        <v>0</v>
      </c>
      <c r="O51" s="594">
        <f t="shared" si="0"/>
        <v>8803</v>
      </c>
    </row>
    <row r="52" spans="1:17" x14ac:dyDescent="0.2">
      <c r="A52" s="591">
        <v>48</v>
      </c>
      <c r="B52" s="114" t="s">
        <v>161</v>
      </c>
      <c r="C52" s="592" t="s">
        <v>567</v>
      </c>
      <c r="D52" s="593" t="s">
        <v>566</v>
      </c>
      <c r="E52" s="594">
        <v>10218</v>
      </c>
      <c r="F52" s="594">
        <v>1</v>
      </c>
      <c r="G52" s="594">
        <v>1680</v>
      </c>
      <c r="H52" s="594">
        <v>8537</v>
      </c>
      <c r="I52" s="594">
        <v>278</v>
      </c>
      <c r="J52" s="594">
        <v>418</v>
      </c>
      <c r="K52" s="918"/>
      <c r="L52" s="918"/>
      <c r="M52" s="594">
        <v>10218</v>
      </c>
      <c r="N52" s="594">
        <v>400</v>
      </c>
      <c r="O52" s="594">
        <f t="shared" si="0"/>
        <v>10618</v>
      </c>
      <c r="Q52" s="595"/>
    </row>
    <row r="53" spans="1:17" x14ac:dyDescent="0.2">
      <c r="A53" s="591">
        <v>49</v>
      </c>
      <c r="B53" s="116" t="s">
        <v>28</v>
      </c>
      <c r="C53" s="592" t="s">
        <v>29</v>
      </c>
      <c r="D53" s="593" t="s">
        <v>566</v>
      </c>
      <c r="E53" s="594">
        <v>7908</v>
      </c>
      <c r="F53" s="594">
        <v>0</v>
      </c>
      <c r="G53" s="594">
        <v>0</v>
      </c>
      <c r="H53" s="594">
        <v>7908</v>
      </c>
      <c r="I53" s="594">
        <v>140</v>
      </c>
      <c r="J53" s="594">
        <v>17</v>
      </c>
      <c r="K53" s="918"/>
      <c r="L53" s="918"/>
      <c r="M53" s="594">
        <v>7908</v>
      </c>
      <c r="N53" s="594">
        <v>0</v>
      </c>
      <c r="O53" s="594">
        <f t="shared" si="0"/>
        <v>7908</v>
      </c>
    </row>
    <row r="54" spans="1:17" x14ac:dyDescent="0.2">
      <c r="A54" s="591">
        <v>50</v>
      </c>
      <c r="B54" s="116" t="s">
        <v>87</v>
      </c>
      <c r="C54" s="592" t="s">
        <v>88</v>
      </c>
      <c r="D54" s="593" t="s">
        <v>566</v>
      </c>
      <c r="E54" s="594">
        <v>9882</v>
      </c>
      <c r="F54" s="594">
        <v>3</v>
      </c>
      <c r="G54" s="594">
        <v>0</v>
      </c>
      <c r="H54" s="594">
        <v>9879</v>
      </c>
      <c r="I54" s="594">
        <v>200</v>
      </c>
      <c r="J54" s="594">
        <v>111</v>
      </c>
      <c r="K54" s="918"/>
      <c r="L54" s="918"/>
      <c r="M54" s="594">
        <v>9882</v>
      </c>
      <c r="N54" s="594">
        <v>0</v>
      </c>
      <c r="O54" s="594">
        <f t="shared" si="0"/>
        <v>9882</v>
      </c>
    </row>
    <row r="55" spans="1:17" x14ac:dyDescent="0.2">
      <c r="A55" s="591">
        <v>51</v>
      </c>
      <c r="B55" s="114" t="s">
        <v>117</v>
      </c>
      <c r="C55" s="592" t="s">
        <v>118</v>
      </c>
      <c r="D55" s="593" t="s">
        <v>566</v>
      </c>
      <c r="E55" s="594">
        <v>18910</v>
      </c>
      <c r="F55" s="594">
        <v>15</v>
      </c>
      <c r="G55" s="594">
        <v>1260</v>
      </c>
      <c r="H55" s="594">
        <v>17635</v>
      </c>
      <c r="I55" s="594">
        <v>500</v>
      </c>
      <c r="J55" s="594">
        <v>250</v>
      </c>
      <c r="K55" s="918"/>
      <c r="L55" s="918"/>
      <c r="M55" s="594">
        <v>18910</v>
      </c>
      <c r="N55" s="594">
        <v>0</v>
      </c>
      <c r="O55" s="594">
        <f t="shared" si="0"/>
        <v>18910</v>
      </c>
    </row>
    <row r="56" spans="1:17" x14ac:dyDescent="0.2">
      <c r="A56" s="591">
        <v>52</v>
      </c>
      <c r="B56" s="116" t="s">
        <v>56</v>
      </c>
      <c r="C56" s="603" t="s">
        <v>57</v>
      </c>
      <c r="D56" s="593" t="s">
        <v>566</v>
      </c>
      <c r="E56" s="594">
        <v>8944</v>
      </c>
      <c r="F56" s="594">
        <v>22</v>
      </c>
      <c r="G56" s="594">
        <v>0</v>
      </c>
      <c r="H56" s="594">
        <v>8922</v>
      </c>
      <c r="I56" s="594">
        <v>230</v>
      </c>
      <c r="J56" s="594">
        <v>80</v>
      </c>
      <c r="K56" s="918"/>
      <c r="L56" s="918"/>
      <c r="M56" s="594">
        <v>8944</v>
      </c>
      <c r="N56" s="594">
        <v>416</v>
      </c>
      <c r="O56" s="594">
        <f t="shared" si="0"/>
        <v>9360</v>
      </c>
    </row>
    <row r="57" spans="1:17" x14ac:dyDescent="0.2">
      <c r="A57" s="591">
        <v>53</v>
      </c>
      <c r="B57" s="114" t="s">
        <v>185</v>
      </c>
      <c r="C57" s="592" t="s">
        <v>570</v>
      </c>
      <c r="D57" s="593" t="s">
        <v>566</v>
      </c>
      <c r="E57" s="594">
        <v>6493</v>
      </c>
      <c r="F57" s="594">
        <v>0</v>
      </c>
      <c r="G57" s="594">
        <v>0</v>
      </c>
      <c r="H57" s="594">
        <v>6493</v>
      </c>
      <c r="I57" s="594"/>
      <c r="J57" s="594"/>
      <c r="K57" s="918"/>
      <c r="L57" s="918"/>
      <c r="M57" s="594">
        <v>6493</v>
      </c>
      <c r="N57" s="594">
        <v>710</v>
      </c>
      <c r="O57" s="594">
        <f t="shared" si="0"/>
        <v>7203</v>
      </c>
    </row>
    <row r="58" spans="1:17" x14ac:dyDescent="0.2">
      <c r="A58" s="591">
        <v>54</v>
      </c>
      <c r="B58" s="114" t="s">
        <v>393</v>
      </c>
      <c r="C58" s="592" t="s">
        <v>394</v>
      </c>
      <c r="D58" s="593" t="s">
        <v>566</v>
      </c>
      <c r="E58" s="594">
        <v>0</v>
      </c>
      <c r="F58" s="594">
        <v>0</v>
      </c>
      <c r="G58" s="594">
        <v>0</v>
      </c>
      <c r="H58" s="594">
        <v>0</v>
      </c>
      <c r="I58" s="594"/>
      <c r="J58" s="594"/>
      <c r="K58" s="918"/>
      <c r="L58" s="918"/>
      <c r="M58" s="594">
        <v>0</v>
      </c>
      <c r="N58" s="594">
        <v>300</v>
      </c>
      <c r="O58" s="594">
        <f t="shared" si="0"/>
        <v>300</v>
      </c>
    </row>
    <row r="59" spans="1:17" x14ac:dyDescent="0.2">
      <c r="A59" s="591">
        <v>55</v>
      </c>
      <c r="B59" s="114" t="s">
        <v>123</v>
      </c>
      <c r="C59" s="592" t="s">
        <v>571</v>
      </c>
      <c r="D59" s="593" t="s">
        <v>572</v>
      </c>
      <c r="E59" s="594">
        <v>530</v>
      </c>
      <c r="F59" s="594">
        <v>0</v>
      </c>
      <c r="G59" s="594">
        <v>0</v>
      </c>
      <c r="H59" s="594">
        <v>530</v>
      </c>
      <c r="I59" s="594"/>
      <c r="J59" s="594"/>
      <c r="K59" s="594">
        <v>450</v>
      </c>
      <c r="L59" s="594">
        <v>0</v>
      </c>
      <c r="M59" s="594">
        <v>980</v>
      </c>
      <c r="N59" s="594">
        <v>0</v>
      </c>
      <c r="O59" s="594">
        <f t="shared" si="0"/>
        <v>980</v>
      </c>
    </row>
    <row r="60" spans="1:17" x14ac:dyDescent="0.2">
      <c r="A60" s="604">
        <v>56</v>
      </c>
      <c r="B60" s="120" t="s">
        <v>205</v>
      </c>
      <c r="C60" s="605" t="s">
        <v>206</v>
      </c>
      <c r="D60" s="606" t="s">
        <v>572</v>
      </c>
      <c r="E60" s="607">
        <v>3330</v>
      </c>
      <c r="F60" s="607">
        <v>0</v>
      </c>
      <c r="G60" s="607">
        <v>0</v>
      </c>
      <c r="H60" s="607">
        <v>3330</v>
      </c>
      <c r="I60" s="607">
        <v>3</v>
      </c>
      <c r="J60" s="607"/>
      <c r="K60" s="607">
        <v>94</v>
      </c>
      <c r="L60" s="607">
        <v>0</v>
      </c>
      <c r="M60" s="607">
        <v>3424</v>
      </c>
      <c r="N60" s="607">
        <v>0</v>
      </c>
      <c r="O60" s="607">
        <f>O61+O62</f>
        <v>3424</v>
      </c>
    </row>
    <row r="61" spans="1:17" x14ac:dyDescent="0.2">
      <c r="A61" s="608"/>
      <c r="B61" s="114"/>
      <c r="C61" s="609" t="s">
        <v>575</v>
      </c>
      <c r="D61" s="593" t="s">
        <v>813</v>
      </c>
      <c r="E61" s="594">
        <v>2931</v>
      </c>
      <c r="F61" s="594">
        <v>0</v>
      </c>
      <c r="G61" s="594">
        <v>0</v>
      </c>
      <c r="H61" s="594">
        <v>2931</v>
      </c>
      <c r="I61" s="594">
        <v>3</v>
      </c>
      <c r="J61" s="594"/>
      <c r="K61" s="594"/>
      <c r="L61" s="594"/>
      <c r="M61" s="594">
        <v>2931</v>
      </c>
      <c r="N61" s="594">
        <v>0</v>
      </c>
      <c r="O61" s="594">
        <f>M61+N61</f>
        <v>2931</v>
      </c>
    </row>
    <row r="62" spans="1:17" x14ac:dyDescent="0.2">
      <c r="A62" s="608"/>
      <c r="B62" s="114"/>
      <c r="C62" s="609" t="s">
        <v>575</v>
      </c>
      <c r="D62" s="593" t="s">
        <v>574</v>
      </c>
      <c r="E62" s="594">
        <v>399</v>
      </c>
      <c r="F62" s="594">
        <v>0</v>
      </c>
      <c r="G62" s="594">
        <v>0</v>
      </c>
      <c r="H62" s="594">
        <v>399</v>
      </c>
      <c r="I62" s="594"/>
      <c r="J62" s="594"/>
      <c r="K62" s="594">
        <v>94</v>
      </c>
      <c r="L62" s="594">
        <v>0</v>
      </c>
      <c r="M62" s="594">
        <v>493</v>
      </c>
      <c r="N62" s="594">
        <v>0</v>
      </c>
      <c r="O62" s="594">
        <f>M62+N62</f>
        <v>493</v>
      </c>
    </row>
    <row r="63" spans="1:17" x14ac:dyDescent="0.2">
      <c r="A63" s="610">
        <v>57</v>
      </c>
      <c r="B63" s="120" t="s">
        <v>97</v>
      </c>
      <c r="C63" s="605" t="s">
        <v>568</v>
      </c>
      <c r="D63" s="606" t="s">
        <v>572</v>
      </c>
      <c r="E63" s="607">
        <v>555</v>
      </c>
      <c r="F63" s="607">
        <v>3</v>
      </c>
      <c r="G63" s="607">
        <v>0</v>
      </c>
      <c r="H63" s="607">
        <v>552</v>
      </c>
      <c r="I63" s="607"/>
      <c r="J63" s="607"/>
      <c r="K63" s="607">
        <v>150</v>
      </c>
      <c r="L63" s="607">
        <v>5</v>
      </c>
      <c r="M63" s="607">
        <v>705</v>
      </c>
      <c r="N63" s="594">
        <v>0</v>
      </c>
      <c r="O63" s="607">
        <f>SUM(O64:O65)</f>
        <v>705</v>
      </c>
    </row>
    <row r="64" spans="1:17" x14ac:dyDescent="0.2">
      <c r="A64" s="608"/>
      <c r="B64" s="114"/>
      <c r="C64" s="611" t="s">
        <v>575</v>
      </c>
      <c r="D64" s="593" t="s">
        <v>566</v>
      </c>
      <c r="E64" s="594">
        <v>358</v>
      </c>
      <c r="F64" s="594">
        <v>3</v>
      </c>
      <c r="G64" s="594">
        <v>0</v>
      </c>
      <c r="H64" s="594">
        <v>355</v>
      </c>
      <c r="I64" s="594"/>
      <c r="J64" s="594"/>
      <c r="K64" s="594"/>
      <c r="L64" s="594"/>
      <c r="M64" s="594">
        <v>358</v>
      </c>
      <c r="N64" s="594">
        <v>0</v>
      </c>
      <c r="O64" s="594">
        <f>M64+N64</f>
        <v>358</v>
      </c>
    </row>
    <row r="65" spans="1:16" x14ac:dyDescent="0.2">
      <c r="A65" s="608"/>
      <c r="B65" s="114"/>
      <c r="C65" s="611" t="s">
        <v>575</v>
      </c>
      <c r="D65" s="593" t="s">
        <v>574</v>
      </c>
      <c r="E65" s="594">
        <v>197</v>
      </c>
      <c r="F65" s="594">
        <v>0</v>
      </c>
      <c r="G65" s="594">
        <v>0</v>
      </c>
      <c r="H65" s="594">
        <v>197</v>
      </c>
      <c r="I65" s="594"/>
      <c r="J65" s="594"/>
      <c r="K65" s="599">
        <v>150</v>
      </c>
      <c r="L65" s="599">
        <v>5</v>
      </c>
      <c r="M65" s="594">
        <v>347</v>
      </c>
      <c r="N65" s="594">
        <v>0</v>
      </c>
      <c r="O65" s="594">
        <f>M65+N65</f>
        <v>347</v>
      </c>
    </row>
    <row r="66" spans="1:16" x14ac:dyDescent="0.2">
      <c r="A66" s="610">
        <v>58</v>
      </c>
      <c r="B66" s="120" t="s">
        <v>83</v>
      </c>
      <c r="C66" s="605" t="s">
        <v>84</v>
      </c>
      <c r="D66" s="606" t="s">
        <v>572</v>
      </c>
      <c r="E66" s="607">
        <v>11085</v>
      </c>
      <c r="F66" s="607">
        <v>30</v>
      </c>
      <c r="G66" s="607">
        <v>0</v>
      </c>
      <c r="H66" s="607">
        <v>11055</v>
      </c>
      <c r="I66" s="607">
        <v>268</v>
      </c>
      <c r="J66" s="607">
        <v>130</v>
      </c>
      <c r="K66" s="607">
        <v>130</v>
      </c>
      <c r="L66" s="607">
        <v>0</v>
      </c>
      <c r="M66" s="607">
        <v>11215</v>
      </c>
      <c r="N66" s="594">
        <v>0</v>
      </c>
      <c r="O66" s="607">
        <f>SUM(O67:O68)</f>
        <v>11215</v>
      </c>
    </row>
    <row r="67" spans="1:16" x14ac:dyDescent="0.2">
      <c r="A67" s="608"/>
      <c r="B67" s="114"/>
      <c r="C67" s="611" t="s">
        <v>575</v>
      </c>
      <c r="D67" s="593" t="s">
        <v>566</v>
      </c>
      <c r="E67" s="594">
        <v>8611</v>
      </c>
      <c r="F67" s="594">
        <v>30</v>
      </c>
      <c r="G67" s="594">
        <v>0</v>
      </c>
      <c r="H67" s="594">
        <v>8581</v>
      </c>
      <c r="I67" s="594">
        <v>268</v>
      </c>
      <c r="J67" s="594">
        <v>130</v>
      </c>
      <c r="K67" s="594"/>
      <c r="L67" s="594"/>
      <c r="M67" s="594">
        <v>8611</v>
      </c>
      <c r="N67" s="594">
        <v>0</v>
      </c>
      <c r="O67" s="594">
        <f>M67+N67</f>
        <v>8611</v>
      </c>
    </row>
    <row r="68" spans="1:16" x14ac:dyDescent="0.2">
      <c r="A68" s="608"/>
      <c r="B68" s="114"/>
      <c r="C68" s="611" t="s">
        <v>575</v>
      </c>
      <c r="D68" s="593" t="s">
        <v>574</v>
      </c>
      <c r="E68" s="594">
        <v>2474</v>
      </c>
      <c r="F68" s="594">
        <v>0</v>
      </c>
      <c r="G68" s="594">
        <v>0</v>
      </c>
      <c r="H68" s="594">
        <v>2474</v>
      </c>
      <c r="I68" s="594"/>
      <c r="J68" s="594"/>
      <c r="K68" s="594">
        <v>130</v>
      </c>
      <c r="L68" s="594">
        <v>0</v>
      </c>
      <c r="M68" s="594">
        <v>2604</v>
      </c>
      <c r="N68" s="594">
        <v>0</v>
      </c>
      <c r="O68" s="594">
        <f>M68+N68</f>
        <v>2604</v>
      </c>
    </row>
    <row r="69" spans="1:16" x14ac:dyDescent="0.2">
      <c r="A69" s="610">
        <v>59</v>
      </c>
      <c r="B69" s="120" t="s">
        <v>68</v>
      </c>
      <c r="C69" s="605" t="s">
        <v>569</v>
      </c>
      <c r="D69" s="593" t="s">
        <v>572</v>
      </c>
      <c r="E69" s="607">
        <v>6236</v>
      </c>
      <c r="F69" s="607">
        <v>10</v>
      </c>
      <c r="G69" s="607">
        <v>0</v>
      </c>
      <c r="H69" s="607">
        <v>6226</v>
      </c>
      <c r="I69" s="607"/>
      <c r="J69" s="607"/>
      <c r="K69" s="607">
        <v>113</v>
      </c>
      <c r="L69" s="607">
        <v>0</v>
      </c>
      <c r="M69" s="607">
        <v>6349</v>
      </c>
      <c r="N69" s="594">
        <v>0</v>
      </c>
      <c r="O69" s="607">
        <f>O70+O71</f>
        <v>6349</v>
      </c>
    </row>
    <row r="70" spans="1:16" x14ac:dyDescent="0.2">
      <c r="A70" s="608"/>
      <c r="B70" s="114"/>
      <c r="C70" s="611" t="s">
        <v>575</v>
      </c>
      <c r="D70" s="593" t="s">
        <v>566</v>
      </c>
      <c r="E70" s="594">
        <v>5272</v>
      </c>
      <c r="F70" s="594">
        <v>10</v>
      </c>
      <c r="G70" s="594">
        <v>0</v>
      </c>
      <c r="H70" s="594">
        <v>5262</v>
      </c>
      <c r="I70" s="594"/>
      <c r="J70" s="594"/>
      <c r="K70" s="594"/>
      <c r="L70" s="594"/>
      <c r="M70" s="594">
        <v>5272</v>
      </c>
      <c r="N70" s="594">
        <v>0</v>
      </c>
      <c r="O70" s="594">
        <f>M70+N70</f>
        <v>5272</v>
      </c>
    </row>
    <row r="71" spans="1:16" x14ac:dyDescent="0.2">
      <c r="A71" s="608"/>
      <c r="B71" s="114"/>
      <c r="C71" s="611" t="s">
        <v>575</v>
      </c>
      <c r="D71" s="593" t="s">
        <v>574</v>
      </c>
      <c r="E71" s="594">
        <v>964</v>
      </c>
      <c r="F71" s="594">
        <v>0</v>
      </c>
      <c r="G71" s="594">
        <v>0</v>
      </c>
      <c r="H71" s="594">
        <v>964</v>
      </c>
      <c r="I71" s="594"/>
      <c r="J71" s="594"/>
      <c r="K71" s="599">
        <v>113</v>
      </c>
      <c r="L71" s="599">
        <v>0</v>
      </c>
      <c r="M71" s="594">
        <v>1077</v>
      </c>
      <c r="N71" s="594">
        <v>0</v>
      </c>
      <c r="O71" s="594">
        <f>M71+N71</f>
        <v>1077</v>
      </c>
    </row>
    <row r="72" spans="1:16" s="614" customFormat="1" x14ac:dyDescent="0.2">
      <c r="A72" s="933">
        <v>60</v>
      </c>
      <c r="B72" s="119" t="s">
        <v>77</v>
      </c>
      <c r="C72" s="612" t="s">
        <v>573</v>
      </c>
      <c r="D72" s="606" t="s">
        <v>574</v>
      </c>
      <c r="E72" s="607">
        <v>10991</v>
      </c>
      <c r="F72" s="607">
        <v>164</v>
      </c>
      <c r="G72" s="607">
        <v>0</v>
      </c>
      <c r="H72" s="607">
        <v>10827</v>
      </c>
      <c r="I72" s="607">
        <v>470</v>
      </c>
      <c r="J72" s="607">
        <v>355</v>
      </c>
      <c r="K72" s="607">
        <v>125</v>
      </c>
      <c r="L72" s="607">
        <v>0</v>
      </c>
      <c r="M72" s="607">
        <v>11116</v>
      </c>
      <c r="N72" s="594">
        <v>412</v>
      </c>
      <c r="O72" s="607">
        <f>SUM(O73:O74)</f>
        <v>11528</v>
      </c>
      <c r="P72" s="613"/>
    </row>
    <row r="73" spans="1:16" x14ac:dyDescent="0.2">
      <c r="A73" s="934"/>
      <c r="B73" s="591"/>
      <c r="C73" s="611" t="s">
        <v>575</v>
      </c>
      <c r="D73" s="593" t="s">
        <v>564</v>
      </c>
      <c r="E73" s="594">
        <v>9971</v>
      </c>
      <c r="F73" s="594">
        <v>164</v>
      </c>
      <c r="G73" s="594">
        <v>0</v>
      </c>
      <c r="H73" s="594">
        <v>9807</v>
      </c>
      <c r="I73" s="594">
        <v>470</v>
      </c>
      <c r="J73" s="594">
        <v>355</v>
      </c>
      <c r="K73" s="918"/>
      <c r="L73" s="918"/>
      <c r="M73" s="594">
        <v>9971</v>
      </c>
      <c r="N73" s="594">
        <v>412</v>
      </c>
      <c r="O73" s="594">
        <f>M73+N73</f>
        <v>10383</v>
      </c>
    </row>
    <row r="74" spans="1:16" x14ac:dyDescent="0.2">
      <c r="A74" s="935"/>
      <c r="B74" s="591"/>
      <c r="C74" s="611" t="s">
        <v>575</v>
      </c>
      <c r="D74" s="593" t="s">
        <v>574</v>
      </c>
      <c r="E74" s="594">
        <v>1020</v>
      </c>
      <c r="F74" s="594">
        <v>0</v>
      </c>
      <c r="G74" s="594">
        <v>0</v>
      </c>
      <c r="H74" s="594">
        <v>1020</v>
      </c>
      <c r="I74" s="594"/>
      <c r="J74" s="594"/>
      <c r="K74" s="594">
        <v>125</v>
      </c>
      <c r="L74" s="594">
        <v>0</v>
      </c>
      <c r="M74" s="594">
        <v>1145</v>
      </c>
      <c r="N74" s="594">
        <v>0</v>
      </c>
      <c r="O74" s="594">
        <f>M74+N74</f>
        <v>1145</v>
      </c>
    </row>
    <row r="75" spans="1:16" s="614" customFormat="1" x14ac:dyDescent="0.2">
      <c r="A75" s="933">
        <v>61</v>
      </c>
      <c r="B75" s="119" t="s">
        <v>207</v>
      </c>
      <c r="C75" s="612" t="s">
        <v>208</v>
      </c>
      <c r="D75" s="606" t="s">
        <v>574</v>
      </c>
      <c r="E75" s="607">
        <v>4657</v>
      </c>
      <c r="F75" s="607">
        <v>105</v>
      </c>
      <c r="G75" s="607">
        <v>0</v>
      </c>
      <c r="H75" s="607">
        <v>4552</v>
      </c>
      <c r="I75" s="607">
        <v>508</v>
      </c>
      <c r="J75" s="607">
        <v>200</v>
      </c>
      <c r="K75" s="607">
        <v>253</v>
      </c>
      <c r="L75" s="607">
        <v>0</v>
      </c>
      <c r="M75" s="607">
        <v>4910</v>
      </c>
      <c r="N75" s="594">
        <v>422</v>
      </c>
      <c r="O75" s="607">
        <f>SUM(O76:O77)</f>
        <v>5332</v>
      </c>
    </row>
    <row r="76" spans="1:16" x14ac:dyDescent="0.2">
      <c r="A76" s="934"/>
      <c r="B76" s="591"/>
      <c r="C76" s="611" t="s">
        <v>575</v>
      </c>
      <c r="D76" s="593" t="s">
        <v>564</v>
      </c>
      <c r="E76" s="594">
        <v>3641</v>
      </c>
      <c r="F76" s="594">
        <v>105</v>
      </c>
      <c r="G76" s="594">
        <v>0</v>
      </c>
      <c r="H76" s="594">
        <v>3536</v>
      </c>
      <c r="I76" s="594">
        <v>508</v>
      </c>
      <c r="J76" s="594">
        <v>200</v>
      </c>
      <c r="K76" s="918"/>
      <c r="L76" s="918"/>
      <c r="M76" s="594">
        <v>3641</v>
      </c>
      <c r="N76" s="594">
        <v>422</v>
      </c>
      <c r="O76" s="594">
        <f>M76+N76</f>
        <v>4063</v>
      </c>
    </row>
    <row r="77" spans="1:16" x14ac:dyDescent="0.2">
      <c r="A77" s="935"/>
      <c r="B77" s="591"/>
      <c r="C77" s="611" t="s">
        <v>575</v>
      </c>
      <c r="D77" s="608" t="s">
        <v>574</v>
      </c>
      <c r="E77" s="615">
        <v>1016</v>
      </c>
      <c r="F77" s="616">
        <v>0</v>
      </c>
      <c r="G77" s="615">
        <v>0</v>
      </c>
      <c r="H77" s="594">
        <v>1016</v>
      </c>
      <c r="I77" s="615"/>
      <c r="J77" s="615"/>
      <c r="K77" s="617">
        <v>253</v>
      </c>
      <c r="L77" s="617">
        <v>0</v>
      </c>
      <c r="M77" s="594">
        <v>1269</v>
      </c>
      <c r="N77" s="594">
        <v>0</v>
      </c>
      <c r="O77" s="594">
        <f>M77+N77</f>
        <v>1269</v>
      </c>
    </row>
    <row r="78" spans="1:16" s="614" customFormat="1" x14ac:dyDescent="0.2">
      <c r="A78" s="933">
        <v>62</v>
      </c>
      <c r="B78" s="120" t="s">
        <v>50</v>
      </c>
      <c r="C78" s="612" t="s">
        <v>51</v>
      </c>
      <c r="D78" s="606" t="s">
        <v>574</v>
      </c>
      <c r="E78" s="607">
        <v>17366</v>
      </c>
      <c r="F78" s="607">
        <v>137</v>
      </c>
      <c r="G78" s="607">
        <v>0</v>
      </c>
      <c r="H78" s="607">
        <v>17229</v>
      </c>
      <c r="I78" s="607">
        <v>1170</v>
      </c>
      <c r="J78" s="607">
        <v>620</v>
      </c>
      <c r="K78" s="607">
        <v>203</v>
      </c>
      <c r="L78" s="607">
        <v>0</v>
      </c>
      <c r="M78" s="607">
        <v>17569</v>
      </c>
      <c r="N78" s="594">
        <v>375</v>
      </c>
      <c r="O78" s="607">
        <f>SUM(O79:O80)</f>
        <v>17944</v>
      </c>
    </row>
    <row r="79" spans="1:16" x14ac:dyDescent="0.2">
      <c r="A79" s="934"/>
      <c r="B79" s="591"/>
      <c r="C79" s="611" t="s">
        <v>575</v>
      </c>
      <c r="D79" s="593" t="s">
        <v>564</v>
      </c>
      <c r="E79" s="594">
        <v>15567</v>
      </c>
      <c r="F79" s="594">
        <v>137</v>
      </c>
      <c r="G79" s="594">
        <v>0</v>
      </c>
      <c r="H79" s="594">
        <v>15430</v>
      </c>
      <c r="I79" s="594">
        <v>1170</v>
      </c>
      <c r="J79" s="594">
        <v>620</v>
      </c>
      <c r="K79" s="918"/>
      <c r="L79" s="918"/>
      <c r="M79" s="594">
        <v>15567</v>
      </c>
      <c r="N79" s="594">
        <v>375</v>
      </c>
      <c r="O79" s="594">
        <f>M79+N79</f>
        <v>15942</v>
      </c>
    </row>
    <row r="80" spans="1:16" x14ac:dyDescent="0.2">
      <c r="A80" s="935"/>
      <c r="B80" s="591"/>
      <c r="C80" s="611" t="s">
        <v>575</v>
      </c>
      <c r="D80" s="616" t="s">
        <v>576</v>
      </c>
      <c r="E80" s="615">
        <v>1799</v>
      </c>
      <c r="F80" s="616">
        <v>0</v>
      </c>
      <c r="G80" s="615">
        <v>0</v>
      </c>
      <c r="H80" s="594">
        <v>1799</v>
      </c>
      <c r="I80" s="615"/>
      <c r="J80" s="615"/>
      <c r="K80" s="617">
        <v>203</v>
      </c>
      <c r="L80" s="617">
        <v>0</v>
      </c>
      <c r="M80" s="594">
        <v>2002</v>
      </c>
      <c r="N80" s="594">
        <v>0</v>
      </c>
      <c r="O80" s="594">
        <f>M80+N80</f>
        <v>2002</v>
      </c>
    </row>
    <row r="81" spans="1:15" s="614" customFormat="1" x14ac:dyDescent="0.2">
      <c r="A81" s="933">
        <v>63</v>
      </c>
      <c r="B81" s="120" t="s">
        <v>99</v>
      </c>
      <c r="C81" s="612" t="s">
        <v>577</v>
      </c>
      <c r="D81" s="606" t="s">
        <v>574</v>
      </c>
      <c r="E81" s="607">
        <v>15606</v>
      </c>
      <c r="F81" s="607">
        <v>172</v>
      </c>
      <c r="G81" s="607">
        <v>0</v>
      </c>
      <c r="H81" s="607">
        <v>15434</v>
      </c>
      <c r="I81" s="607">
        <v>660</v>
      </c>
      <c r="J81" s="607">
        <v>300</v>
      </c>
      <c r="K81" s="607">
        <v>20</v>
      </c>
      <c r="L81" s="607">
        <v>10</v>
      </c>
      <c r="M81" s="607">
        <v>15626</v>
      </c>
      <c r="N81" s="594">
        <v>773</v>
      </c>
      <c r="O81" s="607">
        <f>SUM(O82:O83)</f>
        <v>16399</v>
      </c>
    </row>
    <row r="82" spans="1:15" x14ac:dyDescent="0.2">
      <c r="A82" s="934"/>
      <c r="B82" s="591"/>
      <c r="C82" s="611" t="s">
        <v>575</v>
      </c>
      <c r="D82" s="593" t="s">
        <v>566</v>
      </c>
      <c r="E82" s="594">
        <v>14647</v>
      </c>
      <c r="F82" s="599">
        <v>27</v>
      </c>
      <c r="G82" s="594">
        <v>0</v>
      </c>
      <c r="H82" s="594">
        <v>14620</v>
      </c>
      <c r="I82" s="594">
        <v>660</v>
      </c>
      <c r="J82" s="594">
        <v>300</v>
      </c>
      <c r="K82" s="918"/>
      <c r="L82" s="918"/>
      <c r="M82" s="594">
        <v>14647</v>
      </c>
      <c r="N82" s="594">
        <v>773</v>
      </c>
      <c r="O82" s="594">
        <f>M82+N82</f>
        <v>15420</v>
      </c>
    </row>
    <row r="83" spans="1:15" x14ac:dyDescent="0.2">
      <c r="A83" s="935"/>
      <c r="B83" s="591"/>
      <c r="C83" s="611" t="s">
        <v>575</v>
      </c>
      <c r="D83" s="593" t="s">
        <v>574</v>
      </c>
      <c r="E83" s="615">
        <v>959</v>
      </c>
      <c r="F83" s="618">
        <v>145</v>
      </c>
      <c r="G83" s="615">
        <v>0</v>
      </c>
      <c r="H83" s="594">
        <v>814</v>
      </c>
      <c r="I83" s="615"/>
      <c r="J83" s="615"/>
      <c r="K83" s="617">
        <v>20</v>
      </c>
      <c r="L83" s="617">
        <v>10</v>
      </c>
      <c r="M83" s="594">
        <v>979</v>
      </c>
      <c r="N83" s="594">
        <v>0</v>
      </c>
      <c r="O83" s="594">
        <f>M83+N83</f>
        <v>979</v>
      </c>
    </row>
    <row r="84" spans="1:15" s="614" customFormat="1" x14ac:dyDescent="0.2">
      <c r="A84" s="933">
        <v>64</v>
      </c>
      <c r="B84" s="120" t="s">
        <v>26</v>
      </c>
      <c r="C84" s="612" t="s">
        <v>578</v>
      </c>
      <c r="D84" s="606" t="s">
        <v>574</v>
      </c>
      <c r="E84" s="607">
        <v>21176</v>
      </c>
      <c r="F84" s="607">
        <v>141</v>
      </c>
      <c r="G84" s="607">
        <v>0</v>
      </c>
      <c r="H84" s="607">
        <v>21035</v>
      </c>
      <c r="I84" s="607">
        <v>620</v>
      </c>
      <c r="J84" s="607">
        <v>333</v>
      </c>
      <c r="K84" s="607">
        <v>269</v>
      </c>
      <c r="L84" s="607">
        <v>0</v>
      </c>
      <c r="M84" s="607">
        <v>21445</v>
      </c>
      <c r="N84" s="594">
        <v>759</v>
      </c>
      <c r="O84" s="607">
        <f>SUM(O85:O86)</f>
        <v>22204</v>
      </c>
    </row>
    <row r="85" spans="1:15" x14ac:dyDescent="0.2">
      <c r="A85" s="934"/>
      <c r="B85" s="591"/>
      <c r="C85" s="609" t="s">
        <v>575</v>
      </c>
      <c r="D85" s="593" t="s">
        <v>566</v>
      </c>
      <c r="E85" s="594">
        <v>20984</v>
      </c>
      <c r="F85" s="594">
        <v>141</v>
      </c>
      <c r="G85" s="594">
        <v>0</v>
      </c>
      <c r="H85" s="594">
        <v>20843</v>
      </c>
      <c r="I85" s="594">
        <v>620</v>
      </c>
      <c r="J85" s="594">
        <v>333</v>
      </c>
      <c r="K85" s="918"/>
      <c r="L85" s="918"/>
      <c r="M85" s="594">
        <v>20984</v>
      </c>
      <c r="N85" s="594">
        <v>759</v>
      </c>
      <c r="O85" s="594">
        <f>M85+N85</f>
        <v>21743</v>
      </c>
    </row>
    <row r="86" spans="1:15" x14ac:dyDescent="0.2">
      <c r="A86" s="935"/>
      <c r="B86" s="591"/>
      <c r="C86" s="609" t="s">
        <v>575</v>
      </c>
      <c r="D86" s="593" t="s">
        <v>574</v>
      </c>
      <c r="E86" s="594">
        <v>192</v>
      </c>
      <c r="F86" s="594">
        <v>0</v>
      </c>
      <c r="G86" s="594">
        <v>0</v>
      </c>
      <c r="H86" s="594">
        <v>192</v>
      </c>
      <c r="I86" s="594"/>
      <c r="J86" s="594"/>
      <c r="K86" s="619">
        <v>269</v>
      </c>
      <c r="L86" s="619">
        <v>0</v>
      </c>
      <c r="M86" s="594">
        <v>461</v>
      </c>
      <c r="N86" s="594">
        <v>0</v>
      </c>
      <c r="O86" s="594">
        <f>M86+N86</f>
        <v>461</v>
      </c>
    </row>
    <row r="87" spans="1:15" s="614" customFormat="1" x14ac:dyDescent="0.2">
      <c r="A87" s="933">
        <v>65</v>
      </c>
      <c r="B87" s="121" t="s">
        <v>79</v>
      </c>
      <c r="C87" s="605" t="s">
        <v>579</v>
      </c>
      <c r="D87" s="606" t="s">
        <v>574</v>
      </c>
      <c r="E87" s="607">
        <v>17919</v>
      </c>
      <c r="F87" s="607">
        <v>124</v>
      </c>
      <c r="G87" s="607">
        <v>0</v>
      </c>
      <c r="H87" s="607">
        <v>17795</v>
      </c>
      <c r="I87" s="607">
        <v>450</v>
      </c>
      <c r="J87" s="607">
        <v>264</v>
      </c>
      <c r="K87" s="607">
        <v>467</v>
      </c>
      <c r="L87" s="607">
        <v>0</v>
      </c>
      <c r="M87" s="607">
        <v>18386</v>
      </c>
      <c r="N87" s="594">
        <v>0</v>
      </c>
      <c r="O87" s="607">
        <f>O88+O89</f>
        <v>18386</v>
      </c>
    </row>
    <row r="88" spans="1:15" x14ac:dyDescent="0.2">
      <c r="A88" s="934"/>
      <c r="B88" s="591"/>
      <c r="C88" s="609" t="s">
        <v>575</v>
      </c>
      <c r="D88" s="593" t="s">
        <v>564</v>
      </c>
      <c r="E88" s="594">
        <v>16178</v>
      </c>
      <c r="F88" s="594">
        <v>124</v>
      </c>
      <c r="G88" s="594">
        <v>0</v>
      </c>
      <c r="H88" s="594">
        <v>16054</v>
      </c>
      <c r="I88" s="594">
        <v>450</v>
      </c>
      <c r="J88" s="594">
        <v>264</v>
      </c>
      <c r="K88" s="918"/>
      <c r="L88" s="918"/>
      <c r="M88" s="594">
        <v>16178</v>
      </c>
      <c r="N88" s="594">
        <v>0</v>
      </c>
      <c r="O88" s="594">
        <f>M88+N88</f>
        <v>16178</v>
      </c>
    </row>
    <row r="89" spans="1:15" x14ac:dyDescent="0.2">
      <c r="A89" s="935"/>
      <c r="B89" s="591"/>
      <c r="C89" s="609" t="s">
        <v>575</v>
      </c>
      <c r="D89" s="608" t="s">
        <v>574</v>
      </c>
      <c r="E89" s="615">
        <v>1741</v>
      </c>
      <c r="F89" s="615">
        <v>0</v>
      </c>
      <c r="G89" s="615">
        <v>0</v>
      </c>
      <c r="H89" s="594">
        <v>1741</v>
      </c>
      <c r="I89" s="594"/>
      <c r="J89" s="594"/>
      <c r="K89" s="619">
        <v>467</v>
      </c>
      <c r="L89" s="619">
        <v>0</v>
      </c>
      <c r="M89" s="594">
        <v>2208</v>
      </c>
      <c r="N89" s="594">
        <v>0</v>
      </c>
      <c r="O89" s="594">
        <f>M89+N89</f>
        <v>2208</v>
      </c>
    </row>
    <row r="90" spans="1:15" s="614" customFormat="1" x14ac:dyDescent="0.2">
      <c r="A90" s="933">
        <v>66</v>
      </c>
      <c r="B90" s="121" t="s">
        <v>66</v>
      </c>
      <c r="C90" s="605" t="s">
        <v>580</v>
      </c>
      <c r="D90" s="606" t="s">
        <v>574</v>
      </c>
      <c r="E90" s="607">
        <v>33863</v>
      </c>
      <c r="F90" s="607">
        <v>648</v>
      </c>
      <c r="G90" s="607">
        <v>0</v>
      </c>
      <c r="H90" s="607">
        <v>33215</v>
      </c>
      <c r="I90" s="607">
        <v>1650</v>
      </c>
      <c r="J90" s="607">
        <v>910</v>
      </c>
      <c r="K90" s="607">
        <v>1091</v>
      </c>
      <c r="L90" s="607">
        <v>145</v>
      </c>
      <c r="M90" s="607">
        <v>34954</v>
      </c>
      <c r="N90" s="594">
        <v>840</v>
      </c>
      <c r="O90" s="607">
        <f>O91+O92</f>
        <v>35794</v>
      </c>
    </row>
    <row r="91" spans="1:15" x14ac:dyDescent="0.2">
      <c r="A91" s="934"/>
      <c r="B91" s="591"/>
      <c r="C91" s="609" t="s">
        <v>575</v>
      </c>
      <c r="D91" s="593" t="s">
        <v>564</v>
      </c>
      <c r="E91" s="594">
        <v>24409</v>
      </c>
      <c r="F91" s="599">
        <v>175</v>
      </c>
      <c r="G91" s="594">
        <v>0</v>
      </c>
      <c r="H91" s="594">
        <v>24234</v>
      </c>
      <c r="I91" s="594">
        <v>1650</v>
      </c>
      <c r="J91" s="594">
        <v>910</v>
      </c>
      <c r="K91" s="918"/>
      <c r="L91" s="918"/>
      <c r="M91" s="594">
        <v>24409</v>
      </c>
      <c r="N91" s="594">
        <v>840</v>
      </c>
      <c r="O91" s="594">
        <f>M91+N91</f>
        <v>25249</v>
      </c>
    </row>
    <row r="92" spans="1:15" x14ac:dyDescent="0.2">
      <c r="A92" s="935"/>
      <c r="B92" s="591"/>
      <c r="C92" s="609" t="s">
        <v>575</v>
      </c>
      <c r="D92" s="608" t="s">
        <v>574</v>
      </c>
      <c r="E92" s="615">
        <v>9454</v>
      </c>
      <c r="F92" s="618">
        <v>473</v>
      </c>
      <c r="G92" s="615">
        <v>0</v>
      </c>
      <c r="H92" s="594">
        <v>8981</v>
      </c>
      <c r="I92" s="615"/>
      <c r="J92" s="615"/>
      <c r="K92" s="617">
        <v>1091</v>
      </c>
      <c r="L92" s="617">
        <v>145</v>
      </c>
      <c r="M92" s="594">
        <v>10545</v>
      </c>
      <c r="N92" s="594">
        <v>0</v>
      </c>
      <c r="O92" s="594">
        <f>M92+N92</f>
        <v>10545</v>
      </c>
    </row>
    <row r="93" spans="1:15" s="614" customFormat="1" x14ac:dyDescent="0.2">
      <c r="A93" s="933">
        <v>67</v>
      </c>
      <c r="B93" s="121" t="s">
        <v>169</v>
      </c>
      <c r="C93" s="612" t="s">
        <v>402</v>
      </c>
      <c r="D93" s="606" t="s">
        <v>574</v>
      </c>
      <c r="E93" s="607">
        <v>11652</v>
      </c>
      <c r="F93" s="607">
        <v>642</v>
      </c>
      <c r="G93" s="607">
        <v>0</v>
      </c>
      <c r="H93" s="607">
        <v>11010</v>
      </c>
      <c r="I93" s="607"/>
      <c r="J93" s="607"/>
      <c r="K93" s="607">
        <v>369</v>
      </c>
      <c r="L93" s="607">
        <v>0</v>
      </c>
      <c r="M93" s="607">
        <v>12021</v>
      </c>
      <c r="N93" s="594">
        <v>727</v>
      </c>
      <c r="O93" s="607">
        <f>SUM(O94:O95)</f>
        <v>12748</v>
      </c>
    </row>
    <row r="94" spans="1:15" x14ac:dyDescent="0.2">
      <c r="A94" s="934"/>
      <c r="B94" s="591"/>
      <c r="C94" s="609" t="s">
        <v>575</v>
      </c>
      <c r="D94" s="593" t="s">
        <v>566</v>
      </c>
      <c r="E94" s="594">
        <v>5949</v>
      </c>
      <c r="F94" s="599">
        <v>84</v>
      </c>
      <c r="G94" s="594">
        <v>0</v>
      </c>
      <c r="H94" s="594">
        <v>5865</v>
      </c>
      <c r="I94" s="594"/>
      <c r="J94" s="594"/>
      <c r="K94" s="918"/>
      <c r="L94" s="918"/>
      <c r="M94" s="594">
        <v>5949</v>
      </c>
      <c r="N94" s="594">
        <v>727</v>
      </c>
      <c r="O94" s="594">
        <f>M94+N94</f>
        <v>6676</v>
      </c>
    </row>
    <row r="95" spans="1:15" x14ac:dyDescent="0.2">
      <c r="A95" s="935"/>
      <c r="B95" s="591"/>
      <c r="C95" s="609" t="s">
        <v>575</v>
      </c>
      <c r="D95" s="608" t="s">
        <v>574</v>
      </c>
      <c r="E95" s="615">
        <v>5703</v>
      </c>
      <c r="F95" s="618">
        <v>558</v>
      </c>
      <c r="G95" s="615">
        <v>0</v>
      </c>
      <c r="H95" s="594">
        <v>5145</v>
      </c>
      <c r="I95" s="615"/>
      <c r="J95" s="615"/>
      <c r="K95" s="617">
        <v>369</v>
      </c>
      <c r="L95" s="617">
        <v>0</v>
      </c>
      <c r="M95" s="594">
        <v>6072</v>
      </c>
      <c r="N95" s="594">
        <v>0</v>
      </c>
      <c r="O95" s="594">
        <f>M95+N95</f>
        <v>6072</v>
      </c>
    </row>
    <row r="96" spans="1:15" s="614" customFormat="1" x14ac:dyDescent="0.2">
      <c r="A96" s="933">
        <v>68</v>
      </c>
      <c r="B96" s="120" t="s">
        <v>165</v>
      </c>
      <c r="C96" s="605" t="s">
        <v>581</v>
      </c>
      <c r="D96" s="606" t="s">
        <v>574</v>
      </c>
      <c r="E96" s="607">
        <v>22405</v>
      </c>
      <c r="F96" s="607">
        <v>1</v>
      </c>
      <c r="G96" s="607">
        <v>0</v>
      </c>
      <c r="H96" s="607">
        <v>22404</v>
      </c>
      <c r="I96" s="607">
        <v>980</v>
      </c>
      <c r="J96" s="607">
        <v>660</v>
      </c>
      <c r="K96" s="607">
        <v>1190</v>
      </c>
      <c r="L96" s="607">
        <v>0</v>
      </c>
      <c r="M96" s="607">
        <v>23595</v>
      </c>
      <c r="N96" s="594">
        <v>1047</v>
      </c>
      <c r="O96" s="607">
        <f>SUM(O97:O98)</f>
        <v>24642</v>
      </c>
    </row>
    <row r="97" spans="1:16" x14ac:dyDescent="0.2">
      <c r="A97" s="934"/>
      <c r="B97" s="591"/>
      <c r="C97" s="609" t="s">
        <v>575</v>
      </c>
      <c r="D97" s="593" t="s">
        <v>566</v>
      </c>
      <c r="E97" s="594">
        <v>17571</v>
      </c>
      <c r="F97" s="594">
        <v>1</v>
      </c>
      <c r="G97" s="594">
        <v>0</v>
      </c>
      <c r="H97" s="594">
        <v>17570</v>
      </c>
      <c r="I97" s="594">
        <v>980</v>
      </c>
      <c r="J97" s="594">
        <v>660</v>
      </c>
      <c r="K97" s="918"/>
      <c r="L97" s="918"/>
      <c r="M97" s="594">
        <v>17571</v>
      </c>
      <c r="N97" s="594">
        <v>1047</v>
      </c>
      <c r="O97" s="594">
        <f>M97+N97</f>
        <v>18618</v>
      </c>
    </row>
    <row r="98" spans="1:16" x14ac:dyDescent="0.2">
      <c r="A98" s="935"/>
      <c r="B98" s="591"/>
      <c r="C98" s="609" t="s">
        <v>575</v>
      </c>
      <c r="D98" s="593" t="s">
        <v>574</v>
      </c>
      <c r="E98" s="594">
        <v>4834</v>
      </c>
      <c r="F98" s="594">
        <v>0</v>
      </c>
      <c r="G98" s="594">
        <v>0</v>
      </c>
      <c r="H98" s="594">
        <v>4834</v>
      </c>
      <c r="I98" s="594"/>
      <c r="J98" s="594"/>
      <c r="K98" s="619">
        <v>1190</v>
      </c>
      <c r="L98" s="619">
        <v>0</v>
      </c>
      <c r="M98" s="594">
        <v>6024</v>
      </c>
      <c r="N98" s="594">
        <v>0</v>
      </c>
      <c r="O98" s="594">
        <f>M98+N98</f>
        <v>6024</v>
      </c>
    </row>
    <row r="99" spans="1:16" s="614" customFormat="1" x14ac:dyDescent="0.2">
      <c r="A99" s="933">
        <v>69</v>
      </c>
      <c r="B99" s="121" t="s">
        <v>175</v>
      </c>
      <c r="C99" s="605" t="s">
        <v>754</v>
      </c>
      <c r="D99" s="606" t="s">
        <v>574</v>
      </c>
      <c r="E99" s="607">
        <v>9724</v>
      </c>
      <c r="F99" s="607">
        <v>0</v>
      </c>
      <c r="G99" s="607">
        <v>0</v>
      </c>
      <c r="H99" s="607">
        <v>9724</v>
      </c>
      <c r="I99" s="607">
        <v>2450</v>
      </c>
      <c r="J99" s="607">
        <v>1630</v>
      </c>
      <c r="K99" s="607">
        <v>120</v>
      </c>
      <c r="L99" s="607">
        <v>0</v>
      </c>
      <c r="M99" s="607">
        <v>9844</v>
      </c>
      <c r="N99" s="594">
        <v>0</v>
      </c>
      <c r="O99" s="607">
        <f>O100+O101</f>
        <v>9844</v>
      </c>
    </row>
    <row r="100" spans="1:16" x14ac:dyDescent="0.2">
      <c r="A100" s="934"/>
      <c r="B100" s="591"/>
      <c r="C100" s="609" t="s">
        <v>575</v>
      </c>
      <c r="D100" s="593" t="s">
        <v>564</v>
      </c>
      <c r="E100" s="594">
        <v>3390</v>
      </c>
      <c r="F100" s="594">
        <v>0</v>
      </c>
      <c r="G100" s="594">
        <v>0</v>
      </c>
      <c r="H100" s="594">
        <v>3390</v>
      </c>
      <c r="I100" s="594">
        <v>2450</v>
      </c>
      <c r="J100" s="594">
        <v>1630</v>
      </c>
      <c r="K100" s="918"/>
      <c r="L100" s="918"/>
      <c r="M100" s="594">
        <v>3390</v>
      </c>
      <c r="N100" s="594">
        <v>0</v>
      </c>
      <c r="O100" s="594">
        <f>M100+N100</f>
        <v>3390</v>
      </c>
    </row>
    <row r="101" spans="1:16" ht="15.75" customHeight="1" x14ac:dyDescent="0.2">
      <c r="A101" s="935"/>
      <c r="B101" s="591"/>
      <c r="C101" s="609" t="s">
        <v>575</v>
      </c>
      <c r="D101" s="608" t="s">
        <v>574</v>
      </c>
      <c r="E101" s="615">
        <v>6334</v>
      </c>
      <c r="F101" s="615">
        <v>0</v>
      </c>
      <c r="G101" s="615">
        <v>0</v>
      </c>
      <c r="H101" s="594">
        <v>6334</v>
      </c>
      <c r="I101" s="615"/>
      <c r="J101" s="615"/>
      <c r="K101" s="615">
        <v>120</v>
      </c>
      <c r="L101" s="615">
        <v>0</v>
      </c>
      <c r="M101" s="620">
        <v>6454</v>
      </c>
      <c r="N101" s="594">
        <v>0</v>
      </c>
      <c r="O101" s="594">
        <f>M101+N101</f>
        <v>6454</v>
      </c>
    </row>
    <row r="102" spans="1:16" s="623" customFormat="1" x14ac:dyDescent="0.2">
      <c r="A102" s="933">
        <v>70</v>
      </c>
      <c r="B102" s="122" t="s">
        <v>58</v>
      </c>
      <c r="C102" s="612" t="s">
        <v>582</v>
      </c>
      <c r="D102" s="621" t="s">
        <v>574</v>
      </c>
      <c r="E102" s="622">
        <v>11079</v>
      </c>
      <c r="F102" s="622">
        <v>2</v>
      </c>
      <c r="G102" s="622">
        <v>653</v>
      </c>
      <c r="H102" s="622">
        <v>10424</v>
      </c>
      <c r="I102" s="622">
        <v>470</v>
      </c>
      <c r="J102" s="622">
        <v>223</v>
      </c>
      <c r="K102" s="622">
        <v>138</v>
      </c>
      <c r="L102" s="622">
        <v>0</v>
      </c>
      <c r="M102" s="622">
        <v>11217</v>
      </c>
      <c r="N102" s="594">
        <v>220</v>
      </c>
      <c r="O102" s="622">
        <f>O103+O104</f>
        <v>11437</v>
      </c>
    </row>
    <row r="103" spans="1:16" s="600" customFormat="1" x14ac:dyDescent="0.2">
      <c r="A103" s="934"/>
      <c r="B103" s="596"/>
      <c r="C103" s="611" t="s">
        <v>575</v>
      </c>
      <c r="D103" s="598" t="s">
        <v>566</v>
      </c>
      <c r="E103" s="599">
        <v>9786</v>
      </c>
      <c r="F103" s="599">
        <v>2</v>
      </c>
      <c r="G103" s="599">
        <v>653</v>
      </c>
      <c r="H103" s="599">
        <v>9131</v>
      </c>
      <c r="I103" s="599">
        <v>470</v>
      </c>
      <c r="J103" s="599">
        <v>223</v>
      </c>
      <c r="K103" s="598"/>
      <c r="L103" s="598"/>
      <c r="M103" s="599">
        <v>9786</v>
      </c>
      <c r="N103" s="594">
        <v>220</v>
      </c>
      <c r="O103" s="599">
        <f>M103+N103</f>
        <v>10006</v>
      </c>
    </row>
    <row r="104" spans="1:16" s="600" customFormat="1" x14ac:dyDescent="0.2">
      <c r="A104" s="935"/>
      <c r="B104" s="596"/>
      <c r="C104" s="611" t="s">
        <v>575</v>
      </c>
      <c r="D104" s="624" t="s">
        <v>574</v>
      </c>
      <c r="E104" s="618">
        <v>1293</v>
      </c>
      <c r="F104" s="618">
        <v>0</v>
      </c>
      <c r="G104" s="618">
        <v>0</v>
      </c>
      <c r="H104" s="599">
        <v>1293</v>
      </c>
      <c r="I104" s="618"/>
      <c r="J104" s="618"/>
      <c r="K104" s="625">
        <v>138</v>
      </c>
      <c r="L104" s="625">
        <v>0</v>
      </c>
      <c r="M104" s="625">
        <v>1431</v>
      </c>
      <c r="N104" s="594">
        <v>0</v>
      </c>
      <c r="O104" s="599">
        <f>M104+N104</f>
        <v>1431</v>
      </c>
    </row>
    <row r="105" spans="1:16" s="623" customFormat="1" x14ac:dyDescent="0.2">
      <c r="A105" s="933">
        <v>71</v>
      </c>
      <c r="B105" s="123" t="s">
        <v>260</v>
      </c>
      <c r="C105" s="612" t="s">
        <v>583</v>
      </c>
      <c r="D105" s="621" t="s">
        <v>584</v>
      </c>
      <c r="E105" s="622">
        <v>25536</v>
      </c>
      <c r="F105" s="622">
        <v>24434</v>
      </c>
      <c r="G105" s="622">
        <v>0</v>
      </c>
      <c r="H105" s="622">
        <v>1102</v>
      </c>
      <c r="I105" s="622"/>
      <c r="J105" s="622"/>
      <c r="K105" s="622">
        <v>1687</v>
      </c>
      <c r="L105" s="622">
        <v>1687</v>
      </c>
      <c r="M105" s="622">
        <v>27223</v>
      </c>
      <c r="N105" s="594">
        <v>0</v>
      </c>
      <c r="O105" s="622">
        <f>O106+O107</f>
        <v>27223</v>
      </c>
      <c r="P105" s="626"/>
    </row>
    <row r="106" spans="1:16" s="600" customFormat="1" x14ac:dyDescent="0.2">
      <c r="A106" s="934"/>
      <c r="B106" s="596"/>
      <c r="C106" s="611" t="s">
        <v>575</v>
      </c>
      <c r="D106" s="598" t="s">
        <v>564</v>
      </c>
      <c r="E106" s="599">
        <v>7328</v>
      </c>
      <c r="F106" s="599">
        <v>7015</v>
      </c>
      <c r="G106" s="599">
        <v>0</v>
      </c>
      <c r="H106" s="599">
        <v>313</v>
      </c>
      <c r="I106" s="599"/>
      <c r="J106" s="599"/>
      <c r="K106" s="598"/>
      <c r="L106" s="598"/>
      <c r="M106" s="599">
        <v>7328</v>
      </c>
      <c r="N106" s="594">
        <v>0</v>
      </c>
      <c r="O106" s="599">
        <f>M106+N106</f>
        <v>7328</v>
      </c>
    </row>
    <row r="107" spans="1:16" s="600" customFormat="1" x14ac:dyDescent="0.2">
      <c r="A107" s="935"/>
      <c r="B107" s="596"/>
      <c r="C107" s="611" t="s">
        <v>575</v>
      </c>
      <c r="D107" s="624" t="s">
        <v>584</v>
      </c>
      <c r="E107" s="618">
        <v>18208</v>
      </c>
      <c r="F107" s="618">
        <v>17419</v>
      </c>
      <c r="G107" s="618">
        <v>0</v>
      </c>
      <c r="H107" s="599">
        <v>789</v>
      </c>
      <c r="I107" s="599"/>
      <c r="J107" s="599"/>
      <c r="K107" s="599">
        <v>1687</v>
      </c>
      <c r="L107" s="599">
        <v>1687</v>
      </c>
      <c r="M107" s="599">
        <v>19895</v>
      </c>
      <c r="N107" s="594">
        <v>0</v>
      </c>
      <c r="O107" s="599">
        <f>M107+N107</f>
        <v>19895</v>
      </c>
    </row>
    <row r="108" spans="1:16" s="614" customFormat="1" x14ac:dyDescent="0.2">
      <c r="A108" s="933">
        <v>72</v>
      </c>
      <c r="B108" s="120" t="s">
        <v>262</v>
      </c>
      <c r="C108" s="605" t="s">
        <v>585</v>
      </c>
      <c r="D108" s="606" t="s">
        <v>584</v>
      </c>
      <c r="E108" s="607">
        <v>7260</v>
      </c>
      <c r="F108" s="607">
        <v>0</v>
      </c>
      <c r="G108" s="607">
        <v>0</v>
      </c>
      <c r="H108" s="607">
        <v>7260</v>
      </c>
      <c r="I108" s="607"/>
      <c r="J108" s="607"/>
      <c r="K108" s="607">
        <v>3680</v>
      </c>
      <c r="L108" s="607">
        <v>0</v>
      </c>
      <c r="M108" s="607">
        <v>10940</v>
      </c>
      <c r="N108" s="594">
        <v>844</v>
      </c>
      <c r="O108" s="607">
        <f>O109+O110</f>
        <v>11784</v>
      </c>
    </row>
    <row r="109" spans="1:16" x14ac:dyDescent="0.2">
      <c r="A109" s="934"/>
      <c r="B109" s="591"/>
      <c r="C109" s="609" t="s">
        <v>575</v>
      </c>
      <c r="D109" s="593" t="s">
        <v>564</v>
      </c>
      <c r="E109" s="594">
        <v>152</v>
      </c>
      <c r="F109" s="594">
        <v>0</v>
      </c>
      <c r="G109" s="594">
        <v>0</v>
      </c>
      <c r="H109" s="594">
        <v>152</v>
      </c>
      <c r="I109" s="594"/>
      <c r="J109" s="594"/>
      <c r="K109" s="918"/>
      <c r="L109" s="918"/>
      <c r="M109" s="594">
        <v>152</v>
      </c>
      <c r="N109" s="594">
        <v>844</v>
      </c>
      <c r="O109" s="594">
        <f>M109+N109</f>
        <v>996</v>
      </c>
    </row>
    <row r="110" spans="1:16" x14ac:dyDescent="0.2">
      <c r="A110" s="935"/>
      <c r="B110" s="591"/>
      <c r="C110" s="609" t="s">
        <v>575</v>
      </c>
      <c r="D110" s="616" t="s">
        <v>584</v>
      </c>
      <c r="E110" s="615">
        <v>7108</v>
      </c>
      <c r="F110" s="615">
        <v>0</v>
      </c>
      <c r="G110" s="615">
        <v>0</v>
      </c>
      <c r="H110" s="594">
        <v>7108</v>
      </c>
      <c r="I110" s="594"/>
      <c r="J110" s="594"/>
      <c r="K110" s="594">
        <v>3680</v>
      </c>
      <c r="L110" s="594">
        <v>0</v>
      </c>
      <c r="M110" s="594">
        <v>10788</v>
      </c>
      <c r="N110" s="594">
        <v>0</v>
      </c>
      <c r="O110" s="594">
        <f>M110+N110</f>
        <v>10788</v>
      </c>
    </row>
    <row r="111" spans="1:16" s="614" customFormat="1" x14ac:dyDescent="0.2">
      <c r="A111" s="933">
        <v>73</v>
      </c>
      <c r="B111" s="121" t="s">
        <v>266</v>
      </c>
      <c r="C111" s="605" t="s">
        <v>267</v>
      </c>
      <c r="D111" s="606" t="s">
        <v>586</v>
      </c>
      <c r="E111" s="607">
        <v>6541</v>
      </c>
      <c r="F111" s="607">
        <v>0</v>
      </c>
      <c r="G111" s="607">
        <v>0</v>
      </c>
      <c r="H111" s="607">
        <v>6541</v>
      </c>
      <c r="I111" s="607"/>
      <c r="J111" s="607"/>
      <c r="K111" s="607">
        <v>48</v>
      </c>
      <c r="L111" s="607">
        <v>0</v>
      </c>
      <c r="M111" s="607">
        <v>6589</v>
      </c>
      <c r="N111" s="594">
        <v>0</v>
      </c>
      <c r="O111" s="607">
        <f>O112+O113</f>
        <v>6589</v>
      </c>
    </row>
    <row r="112" spans="1:16" x14ac:dyDescent="0.2">
      <c r="A112" s="934"/>
      <c r="B112" s="591"/>
      <c r="C112" s="609" t="s">
        <v>575</v>
      </c>
      <c r="D112" s="593" t="s">
        <v>564</v>
      </c>
      <c r="E112" s="594">
        <v>3206</v>
      </c>
      <c r="F112" s="594">
        <v>0</v>
      </c>
      <c r="G112" s="594">
        <v>0</v>
      </c>
      <c r="H112" s="594">
        <v>3206</v>
      </c>
      <c r="I112" s="594"/>
      <c r="J112" s="594"/>
      <c r="K112" s="918"/>
      <c r="L112" s="918"/>
      <c r="M112" s="594">
        <v>3206</v>
      </c>
      <c r="N112" s="594">
        <v>0</v>
      </c>
      <c r="O112" s="594">
        <f>M112+N112</f>
        <v>3206</v>
      </c>
    </row>
    <row r="113" spans="1:19" x14ac:dyDescent="0.2">
      <c r="A113" s="935"/>
      <c r="B113" s="591"/>
      <c r="C113" s="609" t="s">
        <v>575</v>
      </c>
      <c r="D113" s="616" t="s">
        <v>584</v>
      </c>
      <c r="E113" s="615">
        <v>3335</v>
      </c>
      <c r="F113" s="615">
        <v>0</v>
      </c>
      <c r="G113" s="615">
        <v>0</v>
      </c>
      <c r="H113" s="594">
        <v>3335</v>
      </c>
      <c r="I113" s="594"/>
      <c r="J113" s="594"/>
      <c r="K113" s="594">
        <v>48</v>
      </c>
      <c r="L113" s="594">
        <v>0</v>
      </c>
      <c r="M113" s="594">
        <v>3383</v>
      </c>
      <c r="N113" s="594">
        <v>0</v>
      </c>
      <c r="O113" s="594">
        <f>M113+N113</f>
        <v>3383</v>
      </c>
    </row>
    <row r="114" spans="1:19" s="614" customFormat="1" x14ac:dyDescent="0.2">
      <c r="A114" s="933">
        <v>74</v>
      </c>
      <c r="B114" s="121" t="s">
        <v>268</v>
      </c>
      <c r="C114" s="605" t="s">
        <v>587</v>
      </c>
      <c r="D114" s="606" t="s">
        <v>584</v>
      </c>
      <c r="E114" s="607">
        <v>23371</v>
      </c>
      <c r="F114" s="607">
        <v>0</v>
      </c>
      <c r="G114" s="607">
        <v>0</v>
      </c>
      <c r="H114" s="607">
        <v>23371</v>
      </c>
      <c r="I114" s="607">
        <v>5489</v>
      </c>
      <c r="J114" s="607">
        <v>4394</v>
      </c>
      <c r="K114" s="607">
        <v>871</v>
      </c>
      <c r="L114" s="607">
        <v>0</v>
      </c>
      <c r="M114" s="607">
        <v>24242</v>
      </c>
      <c r="N114" s="594">
        <v>0</v>
      </c>
      <c r="O114" s="607">
        <f>O115+O116</f>
        <v>24242</v>
      </c>
    </row>
    <row r="115" spans="1:19" ht="15" customHeight="1" x14ac:dyDescent="0.2">
      <c r="A115" s="934"/>
      <c r="B115" s="591"/>
      <c r="C115" s="609" t="s">
        <v>575</v>
      </c>
      <c r="D115" s="593" t="s">
        <v>564</v>
      </c>
      <c r="E115" s="594">
        <v>8943</v>
      </c>
      <c r="F115" s="594">
        <v>0</v>
      </c>
      <c r="G115" s="594">
        <v>0</v>
      </c>
      <c r="H115" s="594">
        <v>8943</v>
      </c>
      <c r="I115" s="594">
        <v>5489</v>
      </c>
      <c r="J115" s="594">
        <v>4394</v>
      </c>
      <c r="K115" s="918"/>
      <c r="L115" s="918"/>
      <c r="M115" s="594">
        <v>8943</v>
      </c>
      <c r="N115" s="594">
        <v>0</v>
      </c>
      <c r="O115" s="594">
        <f>M115+N115</f>
        <v>8943</v>
      </c>
    </row>
    <row r="116" spans="1:19" ht="15" customHeight="1" x14ac:dyDescent="0.2">
      <c r="A116" s="935"/>
      <c r="B116" s="591"/>
      <c r="C116" s="609" t="s">
        <v>575</v>
      </c>
      <c r="D116" s="608" t="s">
        <v>584</v>
      </c>
      <c r="E116" s="615">
        <v>14428</v>
      </c>
      <c r="F116" s="615">
        <v>0</v>
      </c>
      <c r="G116" s="615">
        <v>0</v>
      </c>
      <c r="H116" s="594">
        <v>14428</v>
      </c>
      <c r="I116" s="615"/>
      <c r="J116" s="615"/>
      <c r="K116" s="617">
        <v>871</v>
      </c>
      <c r="L116" s="617">
        <v>0</v>
      </c>
      <c r="M116" s="594">
        <v>15299</v>
      </c>
      <c r="N116" s="594">
        <v>0</v>
      </c>
      <c r="O116" s="594">
        <f>M116+N116</f>
        <v>15299</v>
      </c>
    </row>
    <row r="117" spans="1:19" s="614" customFormat="1" x14ac:dyDescent="0.2">
      <c r="A117" s="933">
        <v>75</v>
      </c>
      <c r="B117" s="121" t="s">
        <v>276</v>
      </c>
      <c r="C117" s="605" t="s">
        <v>588</v>
      </c>
      <c r="D117" s="606" t="s">
        <v>584</v>
      </c>
      <c r="E117" s="607">
        <v>21317</v>
      </c>
      <c r="F117" s="607">
        <v>50</v>
      </c>
      <c r="G117" s="607">
        <v>0</v>
      </c>
      <c r="H117" s="607">
        <v>21267</v>
      </c>
      <c r="I117" s="607"/>
      <c r="J117" s="607"/>
      <c r="K117" s="607">
        <v>1118</v>
      </c>
      <c r="L117" s="607">
        <v>0</v>
      </c>
      <c r="M117" s="607">
        <v>22435</v>
      </c>
      <c r="N117" s="594">
        <v>1474</v>
      </c>
      <c r="O117" s="607">
        <f>O118+O119</f>
        <v>23909</v>
      </c>
    </row>
    <row r="118" spans="1:19" x14ac:dyDescent="0.2">
      <c r="A118" s="934"/>
      <c r="B118" s="591"/>
      <c r="C118" s="609" t="s">
        <v>575</v>
      </c>
      <c r="D118" s="593" t="s">
        <v>564</v>
      </c>
      <c r="E118" s="594">
        <v>11779</v>
      </c>
      <c r="F118" s="594">
        <v>50</v>
      </c>
      <c r="G118" s="594">
        <v>0</v>
      </c>
      <c r="H118" s="594">
        <v>11729</v>
      </c>
      <c r="I118" s="594"/>
      <c r="J118" s="594"/>
      <c r="K118" s="918"/>
      <c r="L118" s="918"/>
      <c r="M118" s="594">
        <v>11779</v>
      </c>
      <c r="N118" s="594">
        <v>1474</v>
      </c>
      <c r="O118" s="594">
        <f>M118+N118</f>
        <v>13253</v>
      </c>
    </row>
    <row r="119" spans="1:19" ht="15.75" customHeight="1" x14ac:dyDescent="0.2">
      <c r="A119" s="935"/>
      <c r="B119" s="591"/>
      <c r="C119" s="609" t="s">
        <v>575</v>
      </c>
      <c r="D119" s="616" t="s">
        <v>584</v>
      </c>
      <c r="E119" s="615">
        <v>9538</v>
      </c>
      <c r="F119" s="615">
        <v>0</v>
      </c>
      <c r="G119" s="615">
        <v>0</v>
      </c>
      <c r="H119" s="594">
        <v>9538</v>
      </c>
      <c r="I119" s="615"/>
      <c r="J119" s="615"/>
      <c r="K119" s="617">
        <v>1118</v>
      </c>
      <c r="L119" s="617">
        <v>0</v>
      </c>
      <c r="M119" s="594">
        <v>10656</v>
      </c>
      <c r="N119" s="594">
        <v>0</v>
      </c>
      <c r="O119" s="594">
        <f>M119+N119</f>
        <v>10656</v>
      </c>
    </row>
    <row r="120" spans="1:19" s="614" customFormat="1" x14ac:dyDescent="0.2">
      <c r="A120" s="933">
        <v>76</v>
      </c>
      <c r="B120" s="121" t="s">
        <v>171</v>
      </c>
      <c r="C120" s="605" t="s">
        <v>589</v>
      </c>
      <c r="D120" s="606" t="s">
        <v>584</v>
      </c>
      <c r="E120" s="607">
        <v>10965</v>
      </c>
      <c r="F120" s="607">
        <v>0</v>
      </c>
      <c r="G120" s="607">
        <v>0</v>
      </c>
      <c r="H120" s="607">
        <v>10965</v>
      </c>
      <c r="I120" s="607"/>
      <c r="J120" s="607"/>
      <c r="K120" s="607">
        <v>401</v>
      </c>
      <c r="L120" s="607">
        <v>0</v>
      </c>
      <c r="M120" s="607">
        <v>11366</v>
      </c>
      <c r="N120" s="594">
        <v>3932</v>
      </c>
      <c r="O120" s="607">
        <f>O121+O122</f>
        <v>15298</v>
      </c>
      <c r="S120" s="613"/>
    </row>
    <row r="121" spans="1:19" x14ac:dyDescent="0.2">
      <c r="A121" s="934"/>
      <c r="B121" s="591"/>
      <c r="C121" s="609" t="s">
        <v>575</v>
      </c>
      <c r="D121" s="593" t="s">
        <v>564</v>
      </c>
      <c r="E121" s="594">
        <v>2283</v>
      </c>
      <c r="F121" s="594">
        <v>0</v>
      </c>
      <c r="G121" s="594">
        <v>0</v>
      </c>
      <c r="H121" s="594">
        <v>2283</v>
      </c>
      <c r="I121" s="594"/>
      <c r="J121" s="594"/>
      <c r="K121" s="918"/>
      <c r="L121" s="918"/>
      <c r="M121" s="594">
        <v>2283</v>
      </c>
      <c r="N121" s="594">
        <v>3932</v>
      </c>
      <c r="O121" s="594">
        <f>M121+N121</f>
        <v>6215</v>
      </c>
    </row>
    <row r="122" spans="1:19" x14ac:dyDescent="0.2">
      <c r="A122" s="935"/>
      <c r="B122" s="591"/>
      <c r="C122" s="609" t="s">
        <v>575</v>
      </c>
      <c r="D122" s="608" t="s">
        <v>584</v>
      </c>
      <c r="E122" s="615">
        <v>8682</v>
      </c>
      <c r="F122" s="615">
        <v>0</v>
      </c>
      <c r="G122" s="615">
        <v>0</v>
      </c>
      <c r="H122" s="594">
        <v>8682</v>
      </c>
      <c r="I122" s="615"/>
      <c r="J122" s="615"/>
      <c r="K122" s="617">
        <v>401</v>
      </c>
      <c r="L122" s="617">
        <v>0</v>
      </c>
      <c r="M122" s="594">
        <v>9083</v>
      </c>
      <c r="N122" s="594">
        <v>0</v>
      </c>
      <c r="O122" s="594">
        <f>M122+N122</f>
        <v>9083</v>
      </c>
    </row>
    <row r="123" spans="1:19" s="614" customFormat="1" x14ac:dyDescent="0.2">
      <c r="A123" s="933">
        <v>77</v>
      </c>
      <c r="B123" s="121" t="s">
        <v>173</v>
      </c>
      <c r="C123" s="605" t="s">
        <v>509</v>
      </c>
      <c r="D123" s="606" t="s">
        <v>584</v>
      </c>
      <c r="E123" s="607">
        <v>10848</v>
      </c>
      <c r="F123" s="607">
        <v>1</v>
      </c>
      <c r="G123" s="607">
        <v>420</v>
      </c>
      <c r="H123" s="607">
        <v>10427</v>
      </c>
      <c r="I123" s="607"/>
      <c r="J123" s="607"/>
      <c r="K123" s="607">
        <v>786</v>
      </c>
      <c r="L123" s="607">
        <v>0</v>
      </c>
      <c r="M123" s="607">
        <v>11634</v>
      </c>
      <c r="N123" s="594">
        <v>1478</v>
      </c>
      <c r="O123" s="607">
        <f>O124+O125</f>
        <v>13112</v>
      </c>
    </row>
    <row r="124" spans="1:19" x14ac:dyDescent="0.2">
      <c r="A124" s="934"/>
      <c r="B124" s="591"/>
      <c r="C124" s="609" t="s">
        <v>575</v>
      </c>
      <c r="D124" s="593" t="s">
        <v>564</v>
      </c>
      <c r="E124" s="594">
        <v>3792</v>
      </c>
      <c r="F124" s="599">
        <v>1</v>
      </c>
      <c r="G124" s="594">
        <v>420</v>
      </c>
      <c r="H124" s="594">
        <v>3371</v>
      </c>
      <c r="I124" s="594"/>
      <c r="J124" s="594"/>
      <c r="K124" s="594"/>
      <c r="L124" s="594"/>
      <c r="M124" s="594">
        <v>3792</v>
      </c>
      <c r="N124" s="594">
        <v>1478</v>
      </c>
      <c r="O124" s="594">
        <f>M124+N124</f>
        <v>5270</v>
      </c>
      <c r="Q124" s="595"/>
    </row>
    <row r="125" spans="1:19" x14ac:dyDescent="0.2">
      <c r="A125" s="935"/>
      <c r="B125" s="591"/>
      <c r="C125" s="609" t="s">
        <v>575</v>
      </c>
      <c r="D125" s="593" t="s">
        <v>584</v>
      </c>
      <c r="E125" s="594">
        <v>7056</v>
      </c>
      <c r="F125" s="594">
        <v>0</v>
      </c>
      <c r="G125" s="594">
        <v>0</v>
      </c>
      <c r="H125" s="594">
        <v>7056</v>
      </c>
      <c r="I125" s="594"/>
      <c r="J125" s="594"/>
      <c r="K125" s="594">
        <v>786</v>
      </c>
      <c r="L125" s="594">
        <v>0</v>
      </c>
      <c r="M125" s="594">
        <v>7842</v>
      </c>
      <c r="N125" s="594">
        <v>0</v>
      </c>
      <c r="O125" s="594">
        <f>M125+N125</f>
        <v>7842</v>
      </c>
    </row>
    <row r="126" spans="1:19" s="614" customFormat="1" x14ac:dyDescent="0.2">
      <c r="A126" s="933">
        <v>78</v>
      </c>
      <c r="B126" s="119" t="s">
        <v>278</v>
      </c>
      <c r="C126" s="612" t="s">
        <v>590</v>
      </c>
      <c r="D126" s="606" t="s">
        <v>584</v>
      </c>
      <c r="E126" s="607">
        <v>19781</v>
      </c>
      <c r="F126" s="607">
        <v>119</v>
      </c>
      <c r="G126" s="607">
        <v>0</v>
      </c>
      <c r="H126" s="607">
        <v>19662</v>
      </c>
      <c r="I126" s="607"/>
      <c r="J126" s="607"/>
      <c r="K126" s="607">
        <v>1188</v>
      </c>
      <c r="L126" s="607">
        <v>0</v>
      </c>
      <c r="M126" s="607">
        <v>20969</v>
      </c>
      <c r="N126" s="594">
        <v>1010</v>
      </c>
      <c r="O126" s="607">
        <f>O127+O128</f>
        <v>21979</v>
      </c>
    </row>
    <row r="127" spans="1:19" x14ac:dyDescent="0.2">
      <c r="A127" s="934"/>
      <c r="B127" s="591"/>
      <c r="C127" s="609" t="s">
        <v>575</v>
      </c>
      <c r="D127" s="593" t="s">
        <v>564</v>
      </c>
      <c r="E127" s="594">
        <v>3866</v>
      </c>
      <c r="F127" s="599">
        <v>20</v>
      </c>
      <c r="G127" s="594">
        <v>0</v>
      </c>
      <c r="H127" s="594">
        <v>3846</v>
      </c>
      <c r="I127" s="594"/>
      <c r="J127" s="594"/>
      <c r="K127" s="594"/>
      <c r="L127" s="594"/>
      <c r="M127" s="594">
        <v>3866</v>
      </c>
      <c r="N127" s="594">
        <v>1010</v>
      </c>
      <c r="O127" s="594">
        <f>M127+N127</f>
        <v>4876</v>
      </c>
    </row>
    <row r="128" spans="1:19" x14ac:dyDescent="0.2">
      <c r="A128" s="935"/>
      <c r="B128" s="591"/>
      <c r="C128" s="609" t="s">
        <v>575</v>
      </c>
      <c r="D128" s="594" t="s">
        <v>584</v>
      </c>
      <c r="E128" s="594">
        <v>15915</v>
      </c>
      <c r="F128" s="594">
        <v>99</v>
      </c>
      <c r="G128" s="594">
        <v>0</v>
      </c>
      <c r="H128" s="594">
        <v>15816</v>
      </c>
      <c r="I128" s="594"/>
      <c r="J128" s="594"/>
      <c r="K128" s="594">
        <v>1188</v>
      </c>
      <c r="L128" s="594">
        <v>0</v>
      </c>
      <c r="M128" s="594">
        <v>17103</v>
      </c>
      <c r="N128" s="594">
        <v>0</v>
      </c>
      <c r="O128" s="594">
        <f>M128+N128</f>
        <v>17103</v>
      </c>
    </row>
    <row r="129" spans="1:19" s="614" customFormat="1" x14ac:dyDescent="0.2">
      <c r="A129" s="936">
        <v>79</v>
      </c>
      <c r="B129" s="120" t="s">
        <v>258</v>
      </c>
      <c r="C129" s="605" t="s">
        <v>259</v>
      </c>
      <c r="D129" s="606" t="s">
        <v>591</v>
      </c>
      <c r="E129" s="607">
        <v>24480</v>
      </c>
      <c r="F129" s="607">
        <v>2095</v>
      </c>
      <c r="G129" s="607">
        <v>0</v>
      </c>
      <c r="H129" s="607">
        <v>22385</v>
      </c>
      <c r="I129" s="607">
        <v>1590</v>
      </c>
      <c r="J129" s="607">
        <v>1532</v>
      </c>
      <c r="K129" s="607">
        <v>2887</v>
      </c>
      <c r="L129" s="607">
        <v>250</v>
      </c>
      <c r="M129" s="607">
        <v>27367</v>
      </c>
      <c r="N129" s="594">
        <v>1341</v>
      </c>
      <c r="O129" s="607">
        <f>O130+O131</f>
        <v>28708</v>
      </c>
    </row>
    <row r="130" spans="1:19" x14ac:dyDescent="0.2">
      <c r="A130" s="937"/>
      <c r="B130" s="627"/>
      <c r="C130" s="609" t="s">
        <v>575</v>
      </c>
      <c r="D130" s="593" t="s">
        <v>564</v>
      </c>
      <c r="E130" s="594">
        <v>5147</v>
      </c>
      <c r="F130" s="594">
        <v>0</v>
      </c>
      <c r="G130" s="594">
        <v>0</v>
      </c>
      <c r="H130" s="594">
        <v>5147</v>
      </c>
      <c r="I130" s="594">
        <v>1590</v>
      </c>
      <c r="J130" s="594">
        <v>1532</v>
      </c>
      <c r="K130" s="918"/>
      <c r="L130" s="918"/>
      <c r="M130" s="594">
        <v>5147</v>
      </c>
      <c r="N130" s="594">
        <v>1341</v>
      </c>
      <c r="O130" s="594">
        <f>M130+N130</f>
        <v>6488</v>
      </c>
    </row>
    <row r="131" spans="1:19" ht="15" customHeight="1" x14ac:dyDescent="0.2">
      <c r="A131" s="938"/>
      <c r="B131" s="627"/>
      <c r="C131" s="609" t="s">
        <v>575</v>
      </c>
      <c r="D131" s="594" t="s">
        <v>591</v>
      </c>
      <c r="E131" s="594">
        <v>19333</v>
      </c>
      <c r="F131" s="594">
        <v>2095</v>
      </c>
      <c r="G131" s="594">
        <v>0</v>
      </c>
      <c r="H131" s="594">
        <v>17238</v>
      </c>
      <c r="I131" s="594"/>
      <c r="J131" s="594"/>
      <c r="K131" s="594">
        <v>2887</v>
      </c>
      <c r="L131" s="594">
        <v>250</v>
      </c>
      <c r="M131" s="594">
        <v>22220</v>
      </c>
      <c r="N131" s="594">
        <v>0</v>
      </c>
      <c r="O131" s="594">
        <f>M131+N131</f>
        <v>22220</v>
      </c>
    </row>
    <row r="132" spans="1:19" s="614" customFormat="1" ht="19.5" customHeight="1" x14ac:dyDescent="0.2">
      <c r="A132" s="933">
        <v>80</v>
      </c>
      <c r="B132" s="121" t="s">
        <v>264</v>
      </c>
      <c r="C132" s="605" t="s">
        <v>265</v>
      </c>
      <c r="D132" s="606" t="s">
        <v>591</v>
      </c>
      <c r="E132" s="607">
        <v>16406</v>
      </c>
      <c r="F132" s="607">
        <v>815</v>
      </c>
      <c r="G132" s="607">
        <v>0</v>
      </c>
      <c r="H132" s="607">
        <v>15591</v>
      </c>
      <c r="I132" s="607"/>
      <c r="J132" s="607"/>
      <c r="K132" s="607">
        <v>1086</v>
      </c>
      <c r="L132" s="607">
        <v>99</v>
      </c>
      <c r="M132" s="607">
        <v>17492</v>
      </c>
      <c r="N132" s="594">
        <v>720</v>
      </c>
      <c r="O132" s="607">
        <f>O133+O134</f>
        <v>18212</v>
      </c>
    </row>
    <row r="133" spans="1:19" x14ac:dyDescent="0.2">
      <c r="A133" s="934"/>
      <c r="B133" s="591"/>
      <c r="C133" s="609" t="s">
        <v>575</v>
      </c>
      <c r="D133" s="593" t="s">
        <v>564</v>
      </c>
      <c r="E133" s="594">
        <v>1824</v>
      </c>
      <c r="F133" s="594">
        <v>0</v>
      </c>
      <c r="G133" s="594">
        <v>0</v>
      </c>
      <c r="H133" s="594">
        <v>1824</v>
      </c>
      <c r="I133" s="594"/>
      <c r="J133" s="594"/>
      <c r="K133" s="918"/>
      <c r="L133" s="918"/>
      <c r="M133" s="594">
        <v>1824</v>
      </c>
      <c r="N133" s="594">
        <v>720</v>
      </c>
      <c r="O133" s="594">
        <f>M133+N133</f>
        <v>2544</v>
      </c>
    </row>
    <row r="134" spans="1:19" x14ac:dyDescent="0.2">
      <c r="A134" s="935"/>
      <c r="B134" s="591"/>
      <c r="C134" s="609" t="s">
        <v>575</v>
      </c>
      <c r="D134" s="593" t="s">
        <v>591</v>
      </c>
      <c r="E134" s="615">
        <v>14582</v>
      </c>
      <c r="F134" s="615">
        <v>815</v>
      </c>
      <c r="G134" s="615">
        <v>0</v>
      </c>
      <c r="H134" s="594">
        <v>13767</v>
      </c>
      <c r="I134" s="594"/>
      <c r="J134" s="594"/>
      <c r="K134" s="594">
        <v>1086</v>
      </c>
      <c r="L134" s="594">
        <v>99</v>
      </c>
      <c r="M134" s="594">
        <v>15668</v>
      </c>
      <c r="N134" s="594">
        <v>0</v>
      </c>
      <c r="O134" s="594">
        <f>M134+N134</f>
        <v>15668</v>
      </c>
    </row>
    <row r="135" spans="1:19" s="614" customFormat="1" x14ac:dyDescent="0.2">
      <c r="A135" s="604">
        <v>81</v>
      </c>
      <c r="B135" s="119" t="s">
        <v>237</v>
      </c>
      <c r="C135" s="605" t="s">
        <v>592</v>
      </c>
      <c r="D135" s="606" t="s">
        <v>591</v>
      </c>
      <c r="E135" s="607">
        <v>1088</v>
      </c>
      <c r="F135" s="607">
        <v>1000</v>
      </c>
      <c r="G135" s="607">
        <v>0</v>
      </c>
      <c r="H135" s="607">
        <v>88</v>
      </c>
      <c r="I135" s="607"/>
      <c r="J135" s="607"/>
      <c r="K135" s="607">
        <v>278</v>
      </c>
      <c r="L135" s="607">
        <v>0</v>
      </c>
      <c r="M135" s="607">
        <v>1366</v>
      </c>
      <c r="N135" s="594">
        <v>0</v>
      </c>
      <c r="O135" s="607">
        <f>M135+N135</f>
        <v>1366</v>
      </c>
    </row>
    <row r="136" spans="1:19" s="614" customFormat="1" x14ac:dyDescent="0.2">
      <c r="A136" s="604">
        <v>82</v>
      </c>
      <c r="B136" s="120" t="s">
        <v>274</v>
      </c>
      <c r="C136" s="605" t="s">
        <v>275</v>
      </c>
      <c r="D136" s="606" t="s">
        <v>591</v>
      </c>
      <c r="E136" s="607">
        <v>4477</v>
      </c>
      <c r="F136" s="607">
        <v>0</v>
      </c>
      <c r="G136" s="607">
        <v>0</v>
      </c>
      <c r="H136" s="607">
        <v>4477</v>
      </c>
      <c r="I136" s="607"/>
      <c r="J136" s="607"/>
      <c r="K136" s="607">
        <v>260</v>
      </c>
      <c r="L136" s="607">
        <v>0</v>
      </c>
      <c r="M136" s="607">
        <v>4737</v>
      </c>
      <c r="N136" s="594">
        <v>1789</v>
      </c>
      <c r="O136" s="607">
        <f>M136+N136</f>
        <v>6526</v>
      </c>
    </row>
    <row r="137" spans="1:19" s="614" customFormat="1" x14ac:dyDescent="0.2">
      <c r="A137" s="604">
        <v>83</v>
      </c>
      <c r="B137" s="124" t="s">
        <v>178</v>
      </c>
      <c r="C137" s="605" t="s">
        <v>324</v>
      </c>
      <c r="D137" s="606" t="s">
        <v>591</v>
      </c>
      <c r="E137" s="607">
        <v>7167</v>
      </c>
      <c r="F137" s="607">
        <v>0</v>
      </c>
      <c r="G137" s="607">
        <v>0</v>
      </c>
      <c r="H137" s="607">
        <v>7167</v>
      </c>
      <c r="I137" s="607"/>
      <c r="J137" s="607"/>
      <c r="K137" s="607">
        <v>90</v>
      </c>
      <c r="L137" s="607">
        <v>0</v>
      </c>
      <c r="M137" s="607">
        <v>7257</v>
      </c>
      <c r="N137" s="594">
        <v>0</v>
      </c>
      <c r="O137" s="607">
        <f>M137+N137</f>
        <v>7257</v>
      </c>
    </row>
    <row r="138" spans="1:19" s="614" customFormat="1" x14ac:dyDescent="0.2">
      <c r="A138" s="604"/>
      <c r="B138" s="124"/>
      <c r="C138" s="628" t="s">
        <v>15</v>
      </c>
      <c r="D138" s="606"/>
      <c r="E138" s="607">
        <f t="shared" ref="E138:O138" si="1">SUM(E5:E59)+E60+E72+E75+E78+E81+E84+E87+E90+E93+E96+E99+E102+E105+E108+E111+E114+E117+E120+E123+E126+E129+E132+E135+E136+E137+E63+E66+E69</f>
        <v>609233</v>
      </c>
      <c r="F138" s="607">
        <f t="shared" si="1"/>
        <v>30751</v>
      </c>
      <c r="G138" s="607">
        <f t="shared" si="1"/>
        <v>15390</v>
      </c>
      <c r="H138" s="607">
        <f t="shared" si="1"/>
        <v>563092</v>
      </c>
      <c r="I138" s="607">
        <f t="shared" si="1"/>
        <v>19100</v>
      </c>
      <c r="J138" s="607">
        <f t="shared" si="1"/>
        <v>12678</v>
      </c>
      <c r="K138" s="607">
        <f t="shared" si="1"/>
        <v>19562</v>
      </c>
      <c r="L138" s="607">
        <f t="shared" si="1"/>
        <v>2196</v>
      </c>
      <c r="M138" s="607">
        <f t="shared" si="1"/>
        <v>628795</v>
      </c>
      <c r="N138" s="607">
        <f t="shared" si="1"/>
        <v>21249</v>
      </c>
      <c r="O138" s="607">
        <f t="shared" si="1"/>
        <v>650044</v>
      </c>
      <c r="S138" s="613"/>
    </row>
    <row r="139" spans="1:19" ht="25.5" x14ac:dyDescent="0.2">
      <c r="A139" s="591"/>
      <c r="B139" s="591"/>
      <c r="C139" s="592" t="s">
        <v>593</v>
      </c>
      <c r="D139" s="593"/>
      <c r="E139" s="607">
        <v>15674</v>
      </c>
      <c r="F139" s="607">
        <v>730</v>
      </c>
      <c r="G139" s="607"/>
      <c r="H139" s="607">
        <v>14944</v>
      </c>
      <c r="I139" s="607"/>
      <c r="J139" s="607"/>
      <c r="K139" s="607">
        <v>75</v>
      </c>
      <c r="L139" s="607">
        <v>0</v>
      </c>
      <c r="M139" s="607">
        <f>E139+K139</f>
        <v>15749</v>
      </c>
      <c r="N139" s="607"/>
      <c r="O139" s="607">
        <f>M139+N139</f>
        <v>15749</v>
      </c>
      <c r="S139" s="595"/>
    </row>
    <row r="140" spans="1:19" ht="19.5" customHeight="1" x14ac:dyDescent="0.2">
      <c r="A140" s="629" t="s">
        <v>594</v>
      </c>
      <c r="B140" s="630"/>
      <c r="C140" s="630"/>
      <c r="D140" s="631"/>
      <c r="E140" s="607">
        <f t="shared" ref="E140:O140" si="2">E138+E139</f>
        <v>624907</v>
      </c>
      <c r="F140" s="607">
        <f t="shared" si="2"/>
        <v>31481</v>
      </c>
      <c r="G140" s="607">
        <f t="shared" si="2"/>
        <v>15390</v>
      </c>
      <c r="H140" s="607">
        <f t="shared" si="2"/>
        <v>578036</v>
      </c>
      <c r="I140" s="607">
        <f t="shared" si="2"/>
        <v>19100</v>
      </c>
      <c r="J140" s="607">
        <f t="shared" si="2"/>
        <v>12678</v>
      </c>
      <c r="K140" s="607">
        <f t="shared" si="2"/>
        <v>19637</v>
      </c>
      <c r="L140" s="607">
        <f t="shared" si="2"/>
        <v>2196</v>
      </c>
      <c r="M140" s="607">
        <f t="shared" si="2"/>
        <v>644544</v>
      </c>
      <c r="N140" s="607">
        <f t="shared" si="2"/>
        <v>21249</v>
      </c>
      <c r="O140" s="607">
        <f t="shared" si="2"/>
        <v>665793</v>
      </c>
    </row>
    <row r="141" spans="1:19" x14ac:dyDescent="0.2">
      <c r="K141" s="589"/>
      <c r="M141" s="595"/>
    </row>
    <row r="143" spans="1:19" x14ac:dyDescent="0.2">
      <c r="E143" s="595"/>
      <c r="F143" s="595"/>
      <c r="I143" s="595"/>
    </row>
  </sheetData>
  <mergeCells count="36">
    <mergeCell ref="A1:M1"/>
    <mergeCell ref="A2:A4"/>
    <mergeCell ref="B2:B4"/>
    <mergeCell ref="C2:C4"/>
    <mergeCell ref="D2:D4"/>
    <mergeCell ref="E2:E4"/>
    <mergeCell ref="F2:J2"/>
    <mergeCell ref="K2:K4"/>
    <mergeCell ref="M2:M4"/>
    <mergeCell ref="N2:N4"/>
    <mergeCell ref="O2:O4"/>
    <mergeCell ref="F3:F4"/>
    <mergeCell ref="G3:G4"/>
    <mergeCell ref="H3:H4"/>
    <mergeCell ref="L3:L4"/>
    <mergeCell ref="A105:A107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99:A101"/>
    <mergeCell ref="A102:A104"/>
    <mergeCell ref="A126:A128"/>
    <mergeCell ref="A129:A131"/>
    <mergeCell ref="A132:A134"/>
    <mergeCell ref="A108:A110"/>
    <mergeCell ref="A111:A113"/>
    <mergeCell ref="A114:A116"/>
    <mergeCell ref="A117:A119"/>
    <mergeCell ref="A120:A122"/>
    <mergeCell ref="A123:A125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153"/>
  <sheetViews>
    <sheetView zoomScale="80" zoomScaleNormal="80" workbookViewId="0">
      <pane xSplit="3" ySplit="11" topLeftCell="D138" activePane="bottomRight" state="frozen"/>
      <selection pane="topRight" activeCell="D1" sqref="D1"/>
      <selection pane="bottomLeft" activeCell="A12" sqref="A12"/>
      <selection pane="bottomRight" activeCell="I151" sqref="I151"/>
    </sheetView>
  </sheetViews>
  <sheetFormatPr defaultRowHeight="15" x14ac:dyDescent="0.25"/>
  <cols>
    <col min="1" max="2" width="9.140625" style="881"/>
    <col min="3" max="3" width="28.28515625" style="881" customWidth="1"/>
    <col min="4" max="4" width="16" style="881" customWidth="1"/>
    <col min="5" max="5" width="15.5703125" style="881" customWidth="1"/>
    <col min="6" max="6" width="16" style="881" customWidth="1"/>
    <col min="7" max="7" width="13.42578125" style="881" customWidth="1"/>
    <col min="8" max="8" width="16.42578125" style="881" customWidth="1"/>
    <col min="9" max="9" width="13" style="881" customWidth="1"/>
    <col min="10" max="10" width="15" style="881" customWidth="1"/>
    <col min="11" max="11" width="13.140625" style="881" customWidth="1"/>
    <col min="12" max="12" width="19.140625" style="881" customWidth="1"/>
    <col min="13" max="16384" width="9.140625" style="881"/>
  </cols>
  <sheetData>
    <row r="1" spans="1:12" ht="21.75" customHeight="1" x14ac:dyDescent="0.25">
      <c r="A1" s="1070" t="s">
        <v>777</v>
      </c>
      <c r="B1" s="1070"/>
      <c r="C1" s="1070"/>
      <c r="D1" s="1070"/>
      <c r="E1" s="1070"/>
      <c r="F1" s="1070"/>
      <c r="G1" s="1070"/>
      <c r="H1" s="1070"/>
      <c r="I1" s="1070"/>
      <c r="J1" s="1070"/>
      <c r="K1" s="1070"/>
      <c r="L1" s="1070"/>
    </row>
    <row r="2" spans="1:12" x14ac:dyDescent="0.25">
      <c r="J2" s="882"/>
    </row>
    <row r="3" spans="1:12" ht="24.75" customHeight="1" x14ac:dyDescent="0.25">
      <c r="A3" s="1024" t="s">
        <v>0</v>
      </c>
      <c r="B3" s="1021" t="s">
        <v>1</v>
      </c>
      <c r="C3" s="1024" t="s">
        <v>2</v>
      </c>
      <c r="D3" s="1071" t="s">
        <v>778</v>
      </c>
      <c r="E3" s="1071"/>
      <c r="F3" s="1071"/>
      <c r="G3" s="1071"/>
      <c r="H3" s="1071"/>
      <c r="I3" s="1071"/>
      <c r="J3" s="1071"/>
      <c r="K3" s="1071"/>
      <c r="L3" s="1043" t="s">
        <v>774</v>
      </c>
    </row>
    <row r="4" spans="1:12" ht="15" customHeight="1" x14ac:dyDescent="0.25">
      <c r="A4" s="1024"/>
      <c r="B4" s="1022"/>
      <c r="C4" s="1024"/>
      <c r="D4" s="1071" t="s">
        <v>3</v>
      </c>
      <c r="E4" s="1071" t="s">
        <v>4</v>
      </c>
      <c r="F4" s="1071"/>
      <c r="G4" s="1071"/>
      <c r="H4" s="1071"/>
      <c r="I4" s="1071"/>
      <c r="J4" s="1071"/>
      <c r="K4" s="1071"/>
      <c r="L4" s="1043"/>
    </row>
    <row r="5" spans="1:12" ht="44.25" customHeight="1" x14ac:dyDescent="0.25">
      <c r="A5" s="1024"/>
      <c r="B5" s="1022"/>
      <c r="C5" s="1024"/>
      <c r="D5" s="1071"/>
      <c r="E5" s="1072" t="s">
        <v>779</v>
      </c>
      <c r="F5" s="1072"/>
      <c r="G5" s="1072"/>
      <c r="H5" s="1072"/>
      <c r="I5" s="1072" t="s">
        <v>780</v>
      </c>
      <c r="J5" s="1073"/>
      <c r="K5" s="1073"/>
      <c r="L5" s="1043"/>
    </row>
    <row r="6" spans="1:12" ht="35.25" customHeight="1" x14ac:dyDescent="0.25">
      <c r="A6" s="1024"/>
      <c r="B6" s="1022"/>
      <c r="C6" s="1024"/>
      <c r="D6" s="1071"/>
      <c r="E6" s="1074" t="s">
        <v>340</v>
      </c>
      <c r="F6" s="1074" t="s">
        <v>341</v>
      </c>
      <c r="G6" s="1074"/>
      <c r="H6" s="1074"/>
      <c r="I6" s="1074" t="s">
        <v>341</v>
      </c>
      <c r="J6" s="1074"/>
      <c r="K6" s="1074"/>
      <c r="L6" s="1043"/>
    </row>
    <row r="7" spans="1:12" ht="42.75" customHeight="1" x14ac:dyDescent="0.25">
      <c r="A7" s="1024"/>
      <c r="B7" s="1023"/>
      <c r="C7" s="1024"/>
      <c r="D7" s="1071"/>
      <c r="E7" s="1074"/>
      <c r="F7" s="883" t="s">
        <v>297</v>
      </c>
      <c r="G7" s="883" t="s">
        <v>345</v>
      </c>
      <c r="H7" s="884" t="s">
        <v>346</v>
      </c>
      <c r="I7" s="883" t="s">
        <v>297</v>
      </c>
      <c r="J7" s="883" t="s">
        <v>345</v>
      </c>
      <c r="K7" s="884" t="s">
        <v>346</v>
      </c>
      <c r="L7" s="1043"/>
    </row>
    <row r="8" spans="1:12" x14ac:dyDescent="0.25">
      <c r="A8" s="858">
        <v>1</v>
      </c>
      <c r="B8" s="858">
        <v>2</v>
      </c>
      <c r="C8" s="858">
        <v>3</v>
      </c>
      <c r="D8" s="864"/>
      <c r="E8" s="864"/>
      <c r="F8" s="864"/>
      <c r="G8" s="864"/>
      <c r="H8" s="864"/>
      <c r="I8" s="864"/>
      <c r="J8" s="864"/>
      <c r="K8" s="864"/>
      <c r="L8" s="864"/>
    </row>
    <row r="9" spans="1:12" s="886" customFormat="1" x14ac:dyDescent="0.25">
      <c r="A9" s="981" t="s">
        <v>6</v>
      </c>
      <c r="B9" s="981"/>
      <c r="C9" s="981"/>
      <c r="D9" s="885">
        <f>D10+D11</f>
        <v>1327912</v>
      </c>
      <c r="E9" s="885">
        <f t="shared" ref="E9:L9" si="0">E10+E11</f>
        <v>654</v>
      </c>
      <c r="F9" s="885">
        <f t="shared" si="0"/>
        <v>1017546</v>
      </c>
      <c r="G9" s="885">
        <f t="shared" si="0"/>
        <v>168819</v>
      </c>
      <c r="H9" s="885">
        <f t="shared" si="0"/>
        <v>848727</v>
      </c>
      <c r="I9" s="885">
        <f t="shared" si="0"/>
        <v>309712</v>
      </c>
      <c r="J9" s="885">
        <f t="shared" si="0"/>
        <v>15080</v>
      </c>
      <c r="K9" s="885">
        <f t="shared" si="0"/>
        <v>294632</v>
      </c>
      <c r="L9" s="885">
        <f t="shared" si="0"/>
        <v>1025004</v>
      </c>
    </row>
    <row r="10" spans="1:12" x14ac:dyDescent="0.25">
      <c r="A10" s="985" t="s">
        <v>14</v>
      </c>
      <c r="B10" s="986"/>
      <c r="C10" s="987"/>
      <c r="D10" s="864"/>
      <c r="E10" s="864"/>
      <c r="F10" s="864"/>
      <c r="G10" s="864"/>
      <c r="H10" s="864"/>
      <c r="I10" s="864"/>
      <c r="J10" s="864"/>
      <c r="K10" s="864"/>
      <c r="L10" s="864"/>
    </row>
    <row r="11" spans="1:12" s="886" customFormat="1" x14ac:dyDescent="0.25">
      <c r="A11" s="985" t="s">
        <v>15</v>
      </c>
      <c r="B11" s="986"/>
      <c r="C11" s="987"/>
      <c r="D11" s="885">
        <f>E11+F11+I11</f>
        <v>1327912</v>
      </c>
      <c r="E11" s="885">
        <f>SUM(E12:E153)</f>
        <v>654</v>
      </c>
      <c r="F11" s="885">
        <f>G11+H11</f>
        <v>1017546</v>
      </c>
      <c r="G11" s="885">
        <f>SUM(G12:G153)</f>
        <v>168819</v>
      </c>
      <c r="H11" s="885">
        <f>SUM(H12:H153)</f>
        <v>848727</v>
      </c>
      <c r="I11" s="885">
        <f>J11+K11</f>
        <v>309712</v>
      </c>
      <c r="J11" s="885">
        <f>SUM(J12:J153)</f>
        <v>15080</v>
      </c>
      <c r="K11" s="885">
        <f>SUM(K12:K153)</f>
        <v>294632</v>
      </c>
      <c r="L11" s="885">
        <f>SUM(L12:L153)</f>
        <v>1025004</v>
      </c>
    </row>
    <row r="12" spans="1:12" x14ac:dyDescent="0.25">
      <c r="A12" s="443">
        <v>1</v>
      </c>
      <c r="B12" s="458" t="s">
        <v>16</v>
      </c>
      <c r="C12" s="459" t="s">
        <v>17</v>
      </c>
      <c r="D12" s="864">
        <f t="shared" ref="D12:D75" si="1">E12+F12+I12</f>
        <v>10620</v>
      </c>
      <c r="E12" s="864">
        <v>0</v>
      </c>
      <c r="F12" s="864">
        <f t="shared" ref="F12:F75" si="2">G12+H12</f>
        <v>8644</v>
      </c>
      <c r="G12" s="864">
        <v>1555</v>
      </c>
      <c r="H12" s="864">
        <v>7089</v>
      </c>
      <c r="I12" s="864">
        <f t="shared" ref="I12:I75" si="3">J12+K12</f>
        <v>1976</v>
      </c>
      <c r="J12" s="864">
        <v>656</v>
      </c>
      <c r="K12" s="864">
        <v>1320</v>
      </c>
      <c r="L12" s="864">
        <v>8935</v>
      </c>
    </row>
    <row r="13" spans="1:12" x14ac:dyDescent="0.25">
      <c r="A13" s="443">
        <v>2</v>
      </c>
      <c r="B13" s="460" t="s">
        <v>18</v>
      </c>
      <c r="C13" s="459" t="s">
        <v>19</v>
      </c>
      <c r="D13" s="864">
        <f t="shared" si="1"/>
        <v>7720</v>
      </c>
      <c r="E13" s="864">
        <v>0</v>
      </c>
      <c r="F13" s="864">
        <f t="shared" si="2"/>
        <v>5826</v>
      </c>
      <c r="G13" s="864">
        <v>1155</v>
      </c>
      <c r="H13" s="864">
        <v>4671</v>
      </c>
      <c r="I13" s="864">
        <f t="shared" si="3"/>
        <v>1894</v>
      </c>
      <c r="J13" s="864">
        <v>40</v>
      </c>
      <c r="K13" s="864">
        <v>1854</v>
      </c>
      <c r="L13" s="864">
        <v>5618</v>
      </c>
    </row>
    <row r="14" spans="1:12" x14ac:dyDescent="0.25">
      <c r="A14" s="443">
        <v>3</v>
      </c>
      <c r="B14" s="461" t="s">
        <v>20</v>
      </c>
      <c r="C14" s="462" t="s">
        <v>21</v>
      </c>
      <c r="D14" s="864">
        <f t="shared" si="1"/>
        <v>21542</v>
      </c>
      <c r="E14" s="864">
        <v>0</v>
      </c>
      <c r="F14" s="864">
        <f t="shared" si="2"/>
        <v>18011</v>
      </c>
      <c r="G14" s="864">
        <v>2568</v>
      </c>
      <c r="H14" s="864">
        <v>15443</v>
      </c>
      <c r="I14" s="864">
        <f t="shared" si="3"/>
        <v>3531</v>
      </c>
      <c r="J14" s="864">
        <v>564</v>
      </c>
      <c r="K14" s="864">
        <v>2967</v>
      </c>
      <c r="L14" s="864">
        <v>14933</v>
      </c>
    </row>
    <row r="15" spans="1:12" x14ac:dyDescent="0.25">
      <c r="A15" s="443">
        <v>4</v>
      </c>
      <c r="B15" s="458" t="s">
        <v>22</v>
      </c>
      <c r="C15" s="459" t="s">
        <v>23</v>
      </c>
      <c r="D15" s="864">
        <f t="shared" si="1"/>
        <v>4048</v>
      </c>
      <c r="E15" s="864">
        <v>0</v>
      </c>
      <c r="F15" s="864">
        <f t="shared" si="2"/>
        <v>2719</v>
      </c>
      <c r="G15" s="864">
        <v>446</v>
      </c>
      <c r="H15" s="864">
        <v>2273</v>
      </c>
      <c r="I15" s="864">
        <f t="shared" si="3"/>
        <v>1329</v>
      </c>
      <c r="J15" s="864">
        <v>0</v>
      </c>
      <c r="K15" s="864">
        <v>1329</v>
      </c>
      <c r="L15" s="864">
        <v>5064</v>
      </c>
    </row>
    <row r="16" spans="1:12" ht="24" x14ac:dyDescent="0.25">
      <c r="A16" s="443">
        <v>5</v>
      </c>
      <c r="B16" s="458" t="s">
        <v>24</v>
      </c>
      <c r="C16" s="459" t="s">
        <v>25</v>
      </c>
      <c r="D16" s="864">
        <f t="shared" si="1"/>
        <v>8967</v>
      </c>
      <c r="E16" s="864">
        <v>0</v>
      </c>
      <c r="F16" s="864">
        <f t="shared" si="2"/>
        <v>7967</v>
      </c>
      <c r="G16" s="864">
        <v>785</v>
      </c>
      <c r="H16" s="864">
        <v>7182</v>
      </c>
      <c r="I16" s="864">
        <f t="shared" si="3"/>
        <v>1000</v>
      </c>
      <c r="J16" s="864">
        <v>0</v>
      </c>
      <c r="K16" s="864">
        <v>1000</v>
      </c>
      <c r="L16" s="864">
        <v>5698</v>
      </c>
    </row>
    <row r="17" spans="1:12" x14ac:dyDescent="0.25">
      <c r="A17" s="443">
        <v>6</v>
      </c>
      <c r="B17" s="461" t="s">
        <v>26</v>
      </c>
      <c r="C17" s="462" t="s">
        <v>27</v>
      </c>
      <c r="D17" s="864">
        <f t="shared" si="1"/>
        <v>52911</v>
      </c>
      <c r="E17" s="864">
        <v>0</v>
      </c>
      <c r="F17" s="864">
        <f t="shared" si="2"/>
        <v>38022</v>
      </c>
      <c r="G17" s="864">
        <v>6365</v>
      </c>
      <c r="H17" s="864">
        <v>31657</v>
      </c>
      <c r="I17" s="864">
        <f t="shared" si="3"/>
        <v>14889</v>
      </c>
      <c r="J17" s="864">
        <v>628</v>
      </c>
      <c r="K17" s="864">
        <v>14261</v>
      </c>
      <c r="L17" s="864">
        <v>46860</v>
      </c>
    </row>
    <row r="18" spans="1:12" x14ac:dyDescent="0.25">
      <c r="A18" s="443">
        <v>7</v>
      </c>
      <c r="B18" s="463" t="s">
        <v>28</v>
      </c>
      <c r="C18" s="69" t="s">
        <v>29</v>
      </c>
      <c r="D18" s="864">
        <f t="shared" si="1"/>
        <v>18159</v>
      </c>
      <c r="E18" s="864">
        <v>0</v>
      </c>
      <c r="F18" s="864">
        <f t="shared" si="2"/>
        <v>15284</v>
      </c>
      <c r="G18" s="864">
        <v>1872</v>
      </c>
      <c r="H18" s="864">
        <v>13412</v>
      </c>
      <c r="I18" s="864">
        <f t="shared" si="3"/>
        <v>2875</v>
      </c>
      <c r="J18" s="864">
        <v>20</v>
      </c>
      <c r="K18" s="864">
        <v>2855</v>
      </c>
      <c r="L18" s="864">
        <v>15539</v>
      </c>
    </row>
    <row r="19" spans="1:12" x14ac:dyDescent="0.25">
      <c r="A19" s="443">
        <v>8</v>
      </c>
      <c r="B19" s="461" t="s">
        <v>30</v>
      </c>
      <c r="C19" s="462" t="s">
        <v>31</v>
      </c>
      <c r="D19" s="864">
        <f t="shared" si="1"/>
        <v>8286</v>
      </c>
      <c r="E19" s="864">
        <v>0</v>
      </c>
      <c r="F19" s="864">
        <f t="shared" si="2"/>
        <v>4560</v>
      </c>
      <c r="G19" s="864">
        <v>849</v>
      </c>
      <c r="H19" s="864">
        <v>3711</v>
      </c>
      <c r="I19" s="864">
        <f t="shared" si="3"/>
        <v>3726</v>
      </c>
      <c r="J19" s="864">
        <v>0</v>
      </c>
      <c r="K19" s="864">
        <v>3726</v>
      </c>
      <c r="L19" s="864">
        <v>6227</v>
      </c>
    </row>
    <row r="20" spans="1:12" x14ac:dyDescent="0.25">
      <c r="A20" s="443">
        <v>9</v>
      </c>
      <c r="B20" s="461" t="s">
        <v>32</v>
      </c>
      <c r="C20" s="462" t="s">
        <v>33</v>
      </c>
      <c r="D20" s="864">
        <f t="shared" si="1"/>
        <v>7593</v>
      </c>
      <c r="E20" s="864">
        <v>0</v>
      </c>
      <c r="F20" s="864">
        <f t="shared" si="2"/>
        <v>6783</v>
      </c>
      <c r="G20" s="864">
        <v>652</v>
      </c>
      <c r="H20" s="864">
        <v>6131</v>
      </c>
      <c r="I20" s="864">
        <f t="shared" si="3"/>
        <v>810</v>
      </c>
      <c r="J20" s="864">
        <v>72</v>
      </c>
      <c r="K20" s="864">
        <v>738</v>
      </c>
      <c r="L20" s="864">
        <v>7377</v>
      </c>
    </row>
    <row r="21" spans="1:12" x14ac:dyDescent="0.25">
      <c r="A21" s="443">
        <v>10</v>
      </c>
      <c r="B21" s="461" t="s">
        <v>34</v>
      </c>
      <c r="C21" s="462" t="s">
        <v>35</v>
      </c>
      <c r="D21" s="864">
        <f t="shared" si="1"/>
        <v>11957</v>
      </c>
      <c r="E21" s="864">
        <v>0</v>
      </c>
      <c r="F21" s="864">
        <f t="shared" si="2"/>
        <v>9860</v>
      </c>
      <c r="G21" s="864">
        <v>972</v>
      </c>
      <c r="H21" s="864">
        <v>8888</v>
      </c>
      <c r="I21" s="864">
        <f t="shared" si="3"/>
        <v>2097</v>
      </c>
      <c r="J21" s="864">
        <v>0</v>
      </c>
      <c r="K21" s="864">
        <v>2097</v>
      </c>
      <c r="L21" s="864">
        <v>9011</v>
      </c>
    </row>
    <row r="22" spans="1:12" x14ac:dyDescent="0.25">
      <c r="A22" s="443">
        <v>11</v>
      </c>
      <c r="B22" s="461" t="s">
        <v>36</v>
      </c>
      <c r="C22" s="462" t="s">
        <v>37</v>
      </c>
      <c r="D22" s="864">
        <f t="shared" si="1"/>
        <v>9966</v>
      </c>
      <c r="E22" s="864">
        <v>0</v>
      </c>
      <c r="F22" s="864">
        <f t="shared" si="2"/>
        <v>7591</v>
      </c>
      <c r="G22" s="864">
        <v>957</v>
      </c>
      <c r="H22" s="864">
        <v>6634</v>
      </c>
      <c r="I22" s="864">
        <f t="shared" si="3"/>
        <v>2375</v>
      </c>
      <c r="J22" s="864">
        <v>24</v>
      </c>
      <c r="K22" s="864">
        <v>2351</v>
      </c>
      <c r="L22" s="864">
        <v>8641</v>
      </c>
    </row>
    <row r="23" spans="1:12" x14ac:dyDescent="0.25">
      <c r="A23" s="443">
        <v>12</v>
      </c>
      <c r="B23" s="461" t="s">
        <v>38</v>
      </c>
      <c r="C23" s="462" t="s">
        <v>39</v>
      </c>
      <c r="D23" s="864">
        <f t="shared" si="1"/>
        <v>16078</v>
      </c>
      <c r="E23" s="864">
        <v>0</v>
      </c>
      <c r="F23" s="864">
        <f t="shared" si="2"/>
        <v>10521</v>
      </c>
      <c r="G23" s="864">
        <v>1681</v>
      </c>
      <c r="H23" s="864">
        <v>8840</v>
      </c>
      <c r="I23" s="864">
        <f t="shared" si="3"/>
        <v>5557</v>
      </c>
      <c r="J23" s="864">
        <v>40</v>
      </c>
      <c r="K23" s="864">
        <v>5517</v>
      </c>
      <c r="L23" s="864">
        <v>14669</v>
      </c>
    </row>
    <row r="24" spans="1:12" x14ac:dyDescent="0.25">
      <c r="A24" s="2">
        <v>13</v>
      </c>
      <c r="B24" s="461" t="s">
        <v>40</v>
      </c>
      <c r="C24" s="462" t="s">
        <v>41</v>
      </c>
      <c r="D24" s="864">
        <f t="shared" si="1"/>
        <v>0</v>
      </c>
      <c r="E24" s="864">
        <v>0</v>
      </c>
      <c r="F24" s="864">
        <f t="shared" si="2"/>
        <v>0</v>
      </c>
      <c r="G24" s="864">
        <v>0</v>
      </c>
      <c r="H24" s="864">
        <v>0</v>
      </c>
      <c r="I24" s="864">
        <f t="shared" si="3"/>
        <v>0</v>
      </c>
      <c r="J24" s="864">
        <v>0</v>
      </c>
      <c r="K24" s="864">
        <v>0</v>
      </c>
      <c r="L24" s="864">
        <v>0</v>
      </c>
    </row>
    <row r="25" spans="1:12" ht="24" x14ac:dyDescent="0.25">
      <c r="A25" s="443">
        <v>14</v>
      </c>
      <c r="B25" s="458" t="s">
        <v>42</v>
      </c>
      <c r="C25" s="462" t="s">
        <v>43</v>
      </c>
      <c r="D25" s="864">
        <f t="shared" si="1"/>
        <v>0</v>
      </c>
      <c r="E25" s="864">
        <v>0</v>
      </c>
      <c r="F25" s="864">
        <f t="shared" si="2"/>
        <v>0</v>
      </c>
      <c r="G25" s="864">
        <v>0</v>
      </c>
      <c r="H25" s="864">
        <v>0</v>
      </c>
      <c r="I25" s="864">
        <f t="shared" si="3"/>
        <v>0</v>
      </c>
      <c r="J25" s="864">
        <v>0</v>
      </c>
      <c r="K25" s="864">
        <v>0</v>
      </c>
      <c r="L25" s="864">
        <v>0</v>
      </c>
    </row>
    <row r="26" spans="1:12" x14ac:dyDescent="0.25">
      <c r="A26" s="2">
        <v>15</v>
      </c>
      <c r="B26" s="461" t="s">
        <v>44</v>
      </c>
      <c r="C26" s="462" t="s">
        <v>45</v>
      </c>
      <c r="D26" s="864">
        <f t="shared" si="1"/>
        <v>6313</v>
      </c>
      <c r="E26" s="864">
        <v>0</v>
      </c>
      <c r="F26" s="864">
        <f t="shared" si="2"/>
        <v>5461</v>
      </c>
      <c r="G26" s="864">
        <v>778</v>
      </c>
      <c r="H26" s="864">
        <v>4683</v>
      </c>
      <c r="I26" s="864">
        <f t="shared" si="3"/>
        <v>852</v>
      </c>
      <c r="J26" s="864">
        <v>0</v>
      </c>
      <c r="K26" s="864">
        <v>852</v>
      </c>
      <c r="L26" s="864">
        <v>6357</v>
      </c>
    </row>
    <row r="27" spans="1:12" x14ac:dyDescent="0.25">
      <c r="A27" s="443">
        <v>16</v>
      </c>
      <c r="B27" s="461" t="s">
        <v>46</v>
      </c>
      <c r="C27" s="462" t="s">
        <v>47</v>
      </c>
      <c r="D27" s="864">
        <f t="shared" si="1"/>
        <v>9605</v>
      </c>
      <c r="E27" s="864">
        <v>0</v>
      </c>
      <c r="F27" s="864">
        <f t="shared" si="2"/>
        <v>7092</v>
      </c>
      <c r="G27" s="864">
        <v>649</v>
      </c>
      <c r="H27" s="864">
        <v>6443</v>
      </c>
      <c r="I27" s="864">
        <f t="shared" si="3"/>
        <v>2513</v>
      </c>
      <c r="J27" s="864">
        <v>0</v>
      </c>
      <c r="K27" s="864">
        <v>2513</v>
      </c>
      <c r="L27" s="864">
        <v>6446</v>
      </c>
    </row>
    <row r="28" spans="1:12" x14ac:dyDescent="0.25">
      <c r="A28" s="2">
        <v>17</v>
      </c>
      <c r="B28" s="461" t="s">
        <v>48</v>
      </c>
      <c r="C28" s="462" t="s">
        <v>49</v>
      </c>
      <c r="D28" s="864">
        <f t="shared" si="1"/>
        <v>9979</v>
      </c>
      <c r="E28" s="864">
        <v>0</v>
      </c>
      <c r="F28" s="864">
        <f t="shared" si="2"/>
        <v>7657</v>
      </c>
      <c r="G28" s="864">
        <v>1567</v>
      </c>
      <c r="H28" s="864">
        <v>6090</v>
      </c>
      <c r="I28" s="864">
        <f t="shared" si="3"/>
        <v>2322</v>
      </c>
      <c r="J28" s="864">
        <v>0</v>
      </c>
      <c r="K28" s="864">
        <v>2322</v>
      </c>
      <c r="L28" s="864">
        <v>7622</v>
      </c>
    </row>
    <row r="29" spans="1:12" x14ac:dyDescent="0.25">
      <c r="A29" s="443">
        <v>18</v>
      </c>
      <c r="B29" s="461" t="s">
        <v>50</v>
      </c>
      <c r="C29" s="462" t="s">
        <v>51</v>
      </c>
      <c r="D29" s="864">
        <f t="shared" si="1"/>
        <v>22658</v>
      </c>
      <c r="E29" s="864">
        <v>0</v>
      </c>
      <c r="F29" s="864">
        <f t="shared" si="2"/>
        <v>17014</v>
      </c>
      <c r="G29" s="864">
        <v>2510</v>
      </c>
      <c r="H29" s="864">
        <v>14504</v>
      </c>
      <c r="I29" s="864">
        <f t="shared" si="3"/>
        <v>5644</v>
      </c>
      <c r="J29" s="864">
        <v>340</v>
      </c>
      <c r="K29" s="864">
        <v>5304</v>
      </c>
      <c r="L29" s="864">
        <v>13025</v>
      </c>
    </row>
    <row r="30" spans="1:12" x14ac:dyDescent="0.25">
      <c r="A30" s="2">
        <v>19</v>
      </c>
      <c r="B30" s="458" t="s">
        <v>52</v>
      </c>
      <c r="C30" s="459" t="s">
        <v>53</v>
      </c>
      <c r="D30" s="864">
        <f t="shared" si="1"/>
        <v>6972</v>
      </c>
      <c r="E30" s="864">
        <v>0</v>
      </c>
      <c r="F30" s="864">
        <f t="shared" si="2"/>
        <v>3088</v>
      </c>
      <c r="G30" s="864">
        <v>1109</v>
      </c>
      <c r="H30" s="864">
        <v>1979</v>
      </c>
      <c r="I30" s="864">
        <f t="shared" si="3"/>
        <v>3884</v>
      </c>
      <c r="J30" s="864">
        <v>100</v>
      </c>
      <c r="K30" s="864">
        <v>3784</v>
      </c>
      <c r="L30" s="864">
        <v>3339</v>
      </c>
    </row>
    <row r="31" spans="1:12" x14ac:dyDescent="0.25">
      <c r="A31" s="443">
        <v>20</v>
      </c>
      <c r="B31" s="458" t="s">
        <v>54</v>
      </c>
      <c r="C31" s="459" t="s">
        <v>55</v>
      </c>
      <c r="D31" s="864">
        <f t="shared" si="1"/>
        <v>5727</v>
      </c>
      <c r="E31" s="864">
        <v>0</v>
      </c>
      <c r="F31" s="864">
        <f t="shared" si="2"/>
        <v>5244</v>
      </c>
      <c r="G31" s="864">
        <v>1078</v>
      </c>
      <c r="H31" s="864">
        <v>4166</v>
      </c>
      <c r="I31" s="864">
        <f t="shared" si="3"/>
        <v>483</v>
      </c>
      <c r="J31" s="864">
        <v>0</v>
      </c>
      <c r="K31" s="864">
        <v>483</v>
      </c>
      <c r="L31" s="864">
        <v>4550</v>
      </c>
    </row>
    <row r="32" spans="1:12" x14ac:dyDescent="0.25">
      <c r="A32" s="2">
        <v>21</v>
      </c>
      <c r="B32" s="458" t="s">
        <v>56</v>
      </c>
      <c r="C32" s="459" t="s">
        <v>57</v>
      </c>
      <c r="D32" s="864">
        <f t="shared" si="1"/>
        <v>22456</v>
      </c>
      <c r="E32" s="864">
        <v>0</v>
      </c>
      <c r="F32" s="864">
        <f t="shared" si="2"/>
        <v>13395</v>
      </c>
      <c r="G32" s="864">
        <v>2275</v>
      </c>
      <c r="H32" s="864">
        <v>11120</v>
      </c>
      <c r="I32" s="864">
        <f t="shared" si="3"/>
        <v>9061</v>
      </c>
      <c r="J32" s="864">
        <v>910</v>
      </c>
      <c r="K32" s="864">
        <v>8151</v>
      </c>
      <c r="L32" s="864">
        <v>17600</v>
      </c>
    </row>
    <row r="33" spans="1:12" x14ac:dyDescent="0.25">
      <c r="A33" s="443">
        <v>22</v>
      </c>
      <c r="B33" s="458" t="s">
        <v>58</v>
      </c>
      <c r="C33" s="459" t="s">
        <v>59</v>
      </c>
      <c r="D33" s="864">
        <f t="shared" si="1"/>
        <v>14461</v>
      </c>
      <c r="E33" s="864">
        <v>0</v>
      </c>
      <c r="F33" s="864">
        <f t="shared" si="2"/>
        <v>9303</v>
      </c>
      <c r="G33" s="864">
        <v>1515</v>
      </c>
      <c r="H33" s="864">
        <v>7788</v>
      </c>
      <c r="I33" s="864">
        <f t="shared" si="3"/>
        <v>5158</v>
      </c>
      <c r="J33" s="864">
        <v>306</v>
      </c>
      <c r="K33" s="864">
        <v>4852</v>
      </c>
      <c r="L33" s="864">
        <v>17702</v>
      </c>
    </row>
    <row r="34" spans="1:12" x14ac:dyDescent="0.25">
      <c r="A34" s="2">
        <v>23</v>
      </c>
      <c r="B34" s="461" t="s">
        <v>60</v>
      </c>
      <c r="C34" s="462" t="s">
        <v>61</v>
      </c>
      <c r="D34" s="864">
        <f t="shared" si="1"/>
        <v>4198</v>
      </c>
      <c r="E34" s="864">
        <v>0</v>
      </c>
      <c r="F34" s="864">
        <f t="shared" si="2"/>
        <v>3043</v>
      </c>
      <c r="G34" s="864">
        <v>332</v>
      </c>
      <c r="H34" s="864">
        <v>2711</v>
      </c>
      <c r="I34" s="864">
        <f t="shared" si="3"/>
        <v>1155</v>
      </c>
      <c r="J34" s="864">
        <v>78</v>
      </c>
      <c r="K34" s="864">
        <v>1077</v>
      </c>
      <c r="L34" s="864">
        <v>2092</v>
      </c>
    </row>
    <row r="35" spans="1:12" x14ac:dyDescent="0.25">
      <c r="A35" s="443">
        <v>24</v>
      </c>
      <c r="B35" s="461" t="s">
        <v>62</v>
      </c>
      <c r="C35" s="462" t="s">
        <v>63</v>
      </c>
      <c r="D35" s="864">
        <f t="shared" si="1"/>
        <v>0</v>
      </c>
      <c r="E35" s="864">
        <v>0</v>
      </c>
      <c r="F35" s="864">
        <f t="shared" si="2"/>
        <v>0</v>
      </c>
      <c r="G35" s="864">
        <v>0</v>
      </c>
      <c r="H35" s="864">
        <v>0</v>
      </c>
      <c r="I35" s="864">
        <f t="shared" si="3"/>
        <v>0</v>
      </c>
      <c r="J35" s="864">
        <v>0</v>
      </c>
      <c r="K35" s="864">
        <v>0</v>
      </c>
      <c r="L35" s="864">
        <v>0</v>
      </c>
    </row>
    <row r="36" spans="1:12" ht="24" x14ac:dyDescent="0.25">
      <c r="A36" s="2">
        <v>25</v>
      </c>
      <c r="B36" s="461" t="s">
        <v>64</v>
      </c>
      <c r="C36" s="462" t="s">
        <v>65</v>
      </c>
      <c r="D36" s="864">
        <f t="shared" si="1"/>
        <v>0</v>
      </c>
      <c r="E36" s="864">
        <v>0</v>
      </c>
      <c r="F36" s="864">
        <f t="shared" si="2"/>
        <v>0</v>
      </c>
      <c r="G36" s="864">
        <v>0</v>
      </c>
      <c r="H36" s="864">
        <v>0</v>
      </c>
      <c r="I36" s="864">
        <f t="shared" si="3"/>
        <v>0</v>
      </c>
      <c r="J36" s="864">
        <v>0</v>
      </c>
      <c r="K36" s="864">
        <v>0</v>
      </c>
      <c r="L36" s="864">
        <v>0</v>
      </c>
    </row>
    <row r="37" spans="1:12" x14ac:dyDescent="0.25">
      <c r="A37" s="443">
        <v>26</v>
      </c>
      <c r="B37" s="458" t="s">
        <v>66</v>
      </c>
      <c r="C37" s="69" t="s">
        <v>67</v>
      </c>
      <c r="D37" s="864">
        <f t="shared" si="1"/>
        <v>50047</v>
      </c>
      <c r="E37" s="864">
        <v>0</v>
      </c>
      <c r="F37" s="864">
        <f t="shared" si="2"/>
        <v>45886</v>
      </c>
      <c r="G37" s="864">
        <v>5536</v>
      </c>
      <c r="H37" s="864">
        <v>40350</v>
      </c>
      <c r="I37" s="864">
        <f t="shared" si="3"/>
        <v>4161</v>
      </c>
      <c r="J37" s="864">
        <v>110</v>
      </c>
      <c r="K37" s="864">
        <v>4051</v>
      </c>
      <c r="L37" s="864">
        <f>25256+17607</f>
        <v>42863</v>
      </c>
    </row>
    <row r="38" spans="1:12" x14ac:dyDescent="0.25">
      <c r="A38" s="2">
        <v>27</v>
      </c>
      <c r="B38" s="461" t="s">
        <v>68</v>
      </c>
      <c r="C38" s="462" t="s">
        <v>69</v>
      </c>
      <c r="D38" s="864">
        <f t="shared" si="1"/>
        <v>16553</v>
      </c>
      <c r="E38" s="864">
        <v>0</v>
      </c>
      <c r="F38" s="864">
        <f t="shared" si="2"/>
        <v>13581</v>
      </c>
      <c r="G38" s="864">
        <v>2313</v>
      </c>
      <c r="H38" s="864">
        <v>11268</v>
      </c>
      <c r="I38" s="864">
        <f t="shared" si="3"/>
        <v>2972</v>
      </c>
      <c r="J38" s="864">
        <v>79</v>
      </c>
      <c r="K38" s="864">
        <v>2893</v>
      </c>
      <c r="L38" s="864">
        <f>30183-17607</f>
        <v>12576</v>
      </c>
    </row>
    <row r="39" spans="1:12" x14ac:dyDescent="0.25">
      <c r="A39" s="443">
        <v>28</v>
      </c>
      <c r="B39" s="461" t="s">
        <v>70</v>
      </c>
      <c r="C39" s="462" t="s">
        <v>71</v>
      </c>
      <c r="D39" s="864">
        <f t="shared" si="1"/>
        <v>5463</v>
      </c>
      <c r="E39" s="864">
        <v>0</v>
      </c>
      <c r="F39" s="864">
        <f t="shared" si="2"/>
        <v>0</v>
      </c>
      <c r="G39" s="864">
        <v>0</v>
      </c>
      <c r="H39" s="864">
        <v>0</v>
      </c>
      <c r="I39" s="864">
        <f t="shared" si="3"/>
        <v>5463</v>
      </c>
      <c r="J39" s="864">
        <v>0</v>
      </c>
      <c r="K39" s="864">
        <v>5463</v>
      </c>
      <c r="L39" s="864">
        <v>0</v>
      </c>
    </row>
    <row r="40" spans="1:12" x14ac:dyDescent="0.25">
      <c r="A40" s="2">
        <v>29</v>
      </c>
      <c r="B40" s="460" t="s">
        <v>72</v>
      </c>
      <c r="C40" s="69" t="s">
        <v>73</v>
      </c>
      <c r="D40" s="864">
        <f t="shared" si="1"/>
        <v>0</v>
      </c>
      <c r="E40" s="864">
        <v>0</v>
      </c>
      <c r="F40" s="864">
        <f t="shared" si="2"/>
        <v>0</v>
      </c>
      <c r="G40" s="864">
        <v>0</v>
      </c>
      <c r="H40" s="864">
        <v>0</v>
      </c>
      <c r="I40" s="864">
        <f t="shared" si="3"/>
        <v>0</v>
      </c>
      <c r="J40" s="864">
        <v>0</v>
      </c>
      <c r="K40" s="864">
        <v>0</v>
      </c>
      <c r="L40" s="864">
        <v>0</v>
      </c>
    </row>
    <row r="41" spans="1:12" x14ac:dyDescent="0.25">
      <c r="A41" s="443">
        <v>30</v>
      </c>
      <c r="B41" s="458" t="s">
        <v>74</v>
      </c>
      <c r="C41" s="459" t="s">
        <v>357</v>
      </c>
      <c r="D41" s="864">
        <f t="shared" si="1"/>
        <v>0</v>
      </c>
      <c r="E41" s="864">
        <v>0</v>
      </c>
      <c r="F41" s="864">
        <f t="shared" si="2"/>
        <v>0</v>
      </c>
      <c r="G41" s="864">
        <v>0</v>
      </c>
      <c r="H41" s="864">
        <v>0</v>
      </c>
      <c r="I41" s="864">
        <f t="shared" si="3"/>
        <v>0</v>
      </c>
      <c r="J41" s="864">
        <v>0</v>
      </c>
      <c r="K41" s="864">
        <v>0</v>
      </c>
      <c r="L41" s="864">
        <v>0</v>
      </c>
    </row>
    <row r="42" spans="1:12" ht="24" x14ac:dyDescent="0.25">
      <c r="A42" s="2">
        <v>31</v>
      </c>
      <c r="B42" s="461" t="s">
        <v>75</v>
      </c>
      <c r="C42" s="462" t="s">
        <v>76</v>
      </c>
      <c r="D42" s="864">
        <f t="shared" si="1"/>
        <v>1051</v>
      </c>
      <c r="E42" s="864">
        <v>0</v>
      </c>
      <c r="F42" s="864">
        <f t="shared" si="2"/>
        <v>1051</v>
      </c>
      <c r="G42" s="864">
        <v>180</v>
      </c>
      <c r="H42" s="864">
        <v>871</v>
      </c>
      <c r="I42" s="864">
        <f t="shared" si="3"/>
        <v>0</v>
      </c>
      <c r="J42" s="864">
        <v>0</v>
      </c>
      <c r="K42" s="864">
        <v>0</v>
      </c>
      <c r="L42" s="864">
        <v>156</v>
      </c>
    </row>
    <row r="43" spans="1:12" x14ac:dyDescent="0.25">
      <c r="A43" s="443">
        <v>32</v>
      </c>
      <c r="B43" s="460" t="s">
        <v>77</v>
      </c>
      <c r="C43" s="459" t="s">
        <v>78</v>
      </c>
      <c r="D43" s="864">
        <f t="shared" si="1"/>
        <v>21148</v>
      </c>
      <c r="E43" s="864">
        <v>0</v>
      </c>
      <c r="F43" s="864">
        <f t="shared" si="2"/>
        <v>18904</v>
      </c>
      <c r="G43" s="864">
        <v>4877</v>
      </c>
      <c r="H43" s="864">
        <v>14027</v>
      </c>
      <c r="I43" s="864">
        <f t="shared" si="3"/>
        <v>2244</v>
      </c>
      <c r="J43" s="864">
        <v>645</v>
      </c>
      <c r="K43" s="864">
        <v>1599</v>
      </c>
      <c r="L43" s="864">
        <v>18204</v>
      </c>
    </row>
    <row r="44" spans="1:12" x14ac:dyDescent="0.25">
      <c r="A44" s="2">
        <v>33</v>
      </c>
      <c r="B44" s="463" t="s">
        <v>79</v>
      </c>
      <c r="C44" s="69" t="s">
        <v>80</v>
      </c>
      <c r="D44" s="864">
        <f t="shared" si="1"/>
        <v>44023</v>
      </c>
      <c r="E44" s="864">
        <v>0</v>
      </c>
      <c r="F44" s="864">
        <f t="shared" si="2"/>
        <v>33066</v>
      </c>
      <c r="G44" s="864">
        <v>5220</v>
      </c>
      <c r="H44" s="864">
        <v>27846</v>
      </c>
      <c r="I44" s="864">
        <f t="shared" si="3"/>
        <v>10957</v>
      </c>
      <c r="J44" s="864">
        <v>100</v>
      </c>
      <c r="K44" s="864">
        <v>10857</v>
      </c>
      <c r="L44" s="864">
        <v>26101</v>
      </c>
    </row>
    <row r="45" spans="1:12" x14ac:dyDescent="0.25">
      <c r="A45" s="443">
        <v>34</v>
      </c>
      <c r="B45" s="460" t="s">
        <v>81</v>
      </c>
      <c r="C45" s="459" t="s">
        <v>82</v>
      </c>
      <c r="D45" s="864">
        <f t="shared" si="1"/>
        <v>5060</v>
      </c>
      <c r="E45" s="864">
        <v>0</v>
      </c>
      <c r="F45" s="864">
        <f t="shared" si="2"/>
        <v>3948</v>
      </c>
      <c r="G45" s="864">
        <v>511</v>
      </c>
      <c r="H45" s="864">
        <v>3437</v>
      </c>
      <c r="I45" s="864">
        <f t="shared" si="3"/>
        <v>1112</v>
      </c>
      <c r="J45" s="864">
        <v>0</v>
      </c>
      <c r="K45" s="864">
        <v>1112</v>
      </c>
      <c r="L45" s="864">
        <v>4276</v>
      </c>
    </row>
    <row r="46" spans="1:12" x14ac:dyDescent="0.25">
      <c r="A46" s="2">
        <v>35</v>
      </c>
      <c r="B46" s="461" t="s">
        <v>83</v>
      </c>
      <c r="C46" s="462" t="s">
        <v>84</v>
      </c>
      <c r="D46" s="864">
        <f t="shared" si="1"/>
        <v>25961</v>
      </c>
      <c r="E46" s="864">
        <v>0</v>
      </c>
      <c r="F46" s="864">
        <f t="shared" si="2"/>
        <v>20461</v>
      </c>
      <c r="G46" s="864">
        <v>3918</v>
      </c>
      <c r="H46" s="864">
        <v>16543</v>
      </c>
      <c r="I46" s="864">
        <f t="shared" si="3"/>
        <v>5500</v>
      </c>
      <c r="J46" s="864">
        <v>270</v>
      </c>
      <c r="K46" s="864">
        <v>5230</v>
      </c>
      <c r="L46" s="864">
        <v>16198</v>
      </c>
    </row>
    <row r="47" spans="1:12" x14ac:dyDescent="0.25">
      <c r="A47" s="443">
        <v>36</v>
      </c>
      <c r="B47" s="460" t="s">
        <v>85</v>
      </c>
      <c r="C47" s="459" t="s">
        <v>86</v>
      </c>
      <c r="D47" s="864">
        <f t="shared" si="1"/>
        <v>8655</v>
      </c>
      <c r="E47" s="864">
        <v>0</v>
      </c>
      <c r="F47" s="864">
        <f t="shared" si="2"/>
        <v>6040</v>
      </c>
      <c r="G47" s="864">
        <v>911</v>
      </c>
      <c r="H47" s="864">
        <v>5129</v>
      </c>
      <c r="I47" s="864">
        <f t="shared" si="3"/>
        <v>2615</v>
      </c>
      <c r="J47" s="864">
        <v>22</v>
      </c>
      <c r="K47" s="864">
        <v>2593</v>
      </c>
      <c r="L47" s="864">
        <v>6751</v>
      </c>
    </row>
    <row r="48" spans="1:12" x14ac:dyDescent="0.25">
      <c r="A48" s="2">
        <v>37</v>
      </c>
      <c r="B48" s="458" t="s">
        <v>87</v>
      </c>
      <c r="C48" s="459" t="s">
        <v>88</v>
      </c>
      <c r="D48" s="864">
        <f t="shared" si="1"/>
        <v>22051</v>
      </c>
      <c r="E48" s="864">
        <v>0</v>
      </c>
      <c r="F48" s="864">
        <f t="shared" si="2"/>
        <v>13940</v>
      </c>
      <c r="G48" s="864">
        <v>3484</v>
      </c>
      <c r="H48" s="864">
        <v>10456</v>
      </c>
      <c r="I48" s="864">
        <f t="shared" si="3"/>
        <v>8111</v>
      </c>
      <c r="J48" s="864">
        <v>605</v>
      </c>
      <c r="K48" s="864">
        <v>7506</v>
      </c>
      <c r="L48" s="864">
        <v>30682</v>
      </c>
    </row>
    <row r="49" spans="1:12" x14ac:dyDescent="0.25">
      <c r="A49" s="443">
        <v>38</v>
      </c>
      <c r="B49" s="449" t="s">
        <v>89</v>
      </c>
      <c r="C49" s="450" t="s">
        <v>90</v>
      </c>
      <c r="D49" s="864">
        <f t="shared" si="1"/>
        <v>7860</v>
      </c>
      <c r="E49" s="864">
        <v>0</v>
      </c>
      <c r="F49" s="864">
        <f t="shared" si="2"/>
        <v>6147</v>
      </c>
      <c r="G49" s="864">
        <v>1174</v>
      </c>
      <c r="H49" s="864">
        <v>4973</v>
      </c>
      <c r="I49" s="864">
        <f t="shared" si="3"/>
        <v>1713</v>
      </c>
      <c r="J49" s="864">
        <v>144</v>
      </c>
      <c r="K49" s="864">
        <v>1569</v>
      </c>
      <c r="L49" s="864">
        <v>6892</v>
      </c>
    </row>
    <row r="50" spans="1:12" x14ac:dyDescent="0.25">
      <c r="A50" s="2">
        <v>39</v>
      </c>
      <c r="B50" s="458" t="s">
        <v>91</v>
      </c>
      <c r="C50" s="459" t="s">
        <v>92</v>
      </c>
      <c r="D50" s="864">
        <f t="shared" si="1"/>
        <v>5072</v>
      </c>
      <c r="E50" s="864">
        <v>0</v>
      </c>
      <c r="F50" s="864">
        <f t="shared" si="2"/>
        <v>3560</v>
      </c>
      <c r="G50" s="864">
        <v>496</v>
      </c>
      <c r="H50" s="864">
        <v>3064</v>
      </c>
      <c r="I50" s="864">
        <f t="shared" si="3"/>
        <v>1512</v>
      </c>
      <c r="J50" s="864">
        <v>66</v>
      </c>
      <c r="K50" s="864">
        <v>1446</v>
      </c>
      <c r="L50" s="864">
        <v>7075</v>
      </c>
    </row>
    <row r="51" spans="1:12" x14ac:dyDescent="0.25">
      <c r="A51" s="443">
        <v>40</v>
      </c>
      <c r="B51" s="463" t="s">
        <v>93</v>
      </c>
      <c r="C51" s="69" t="s">
        <v>94</v>
      </c>
      <c r="D51" s="864">
        <f t="shared" si="1"/>
        <v>15379</v>
      </c>
      <c r="E51" s="864">
        <v>0</v>
      </c>
      <c r="F51" s="864">
        <f t="shared" si="2"/>
        <v>10503</v>
      </c>
      <c r="G51" s="864">
        <v>1249</v>
      </c>
      <c r="H51" s="864">
        <v>9254</v>
      </c>
      <c r="I51" s="864">
        <f t="shared" si="3"/>
        <v>4876</v>
      </c>
      <c r="J51" s="864">
        <v>0</v>
      </c>
      <c r="K51" s="864">
        <v>4876</v>
      </c>
      <c r="L51" s="864">
        <v>11151</v>
      </c>
    </row>
    <row r="52" spans="1:12" x14ac:dyDescent="0.25">
      <c r="A52" s="2">
        <v>41</v>
      </c>
      <c r="B52" s="461" t="s">
        <v>95</v>
      </c>
      <c r="C52" s="462" t="s">
        <v>96</v>
      </c>
      <c r="D52" s="864">
        <f t="shared" si="1"/>
        <v>4501</v>
      </c>
      <c r="E52" s="864">
        <v>0</v>
      </c>
      <c r="F52" s="864">
        <f t="shared" si="2"/>
        <v>3020</v>
      </c>
      <c r="G52" s="864">
        <v>729</v>
      </c>
      <c r="H52" s="864">
        <v>2291</v>
      </c>
      <c r="I52" s="864">
        <f t="shared" si="3"/>
        <v>1481</v>
      </c>
      <c r="J52" s="864">
        <v>276</v>
      </c>
      <c r="K52" s="864">
        <v>1205</v>
      </c>
      <c r="L52" s="864">
        <v>4778</v>
      </c>
    </row>
    <row r="53" spans="1:12" x14ac:dyDescent="0.25">
      <c r="A53" s="443">
        <v>42</v>
      </c>
      <c r="B53" s="460" t="s">
        <v>97</v>
      </c>
      <c r="C53" s="459" t="s">
        <v>98</v>
      </c>
      <c r="D53" s="864">
        <f t="shared" si="1"/>
        <v>3669</v>
      </c>
      <c r="E53" s="864">
        <v>0</v>
      </c>
      <c r="F53" s="864">
        <f t="shared" si="2"/>
        <v>3669</v>
      </c>
      <c r="G53" s="864">
        <v>978</v>
      </c>
      <c r="H53" s="864">
        <v>2691</v>
      </c>
      <c r="I53" s="864">
        <f t="shared" si="3"/>
        <v>0</v>
      </c>
      <c r="J53" s="864">
        <v>0</v>
      </c>
      <c r="K53" s="864">
        <v>0</v>
      </c>
      <c r="L53" s="864">
        <v>1380</v>
      </c>
    </row>
    <row r="54" spans="1:12" x14ac:dyDescent="0.25">
      <c r="A54" s="2">
        <v>43</v>
      </c>
      <c r="B54" s="461" t="s">
        <v>99</v>
      </c>
      <c r="C54" s="462" t="s">
        <v>100</v>
      </c>
      <c r="D54" s="864">
        <f t="shared" si="1"/>
        <v>26876</v>
      </c>
      <c r="E54" s="864">
        <v>0</v>
      </c>
      <c r="F54" s="864">
        <f t="shared" si="2"/>
        <v>19254</v>
      </c>
      <c r="G54" s="864">
        <v>5778</v>
      </c>
      <c r="H54" s="864">
        <v>13476</v>
      </c>
      <c r="I54" s="864">
        <f t="shared" si="3"/>
        <v>7622</v>
      </c>
      <c r="J54" s="864">
        <v>902</v>
      </c>
      <c r="K54" s="864">
        <v>6720</v>
      </c>
      <c r="L54" s="864">
        <v>30550</v>
      </c>
    </row>
    <row r="55" spans="1:12" x14ac:dyDescent="0.25">
      <c r="A55" s="443">
        <v>44</v>
      </c>
      <c r="B55" s="458" t="s">
        <v>101</v>
      </c>
      <c r="C55" s="459" t="s">
        <v>102</v>
      </c>
      <c r="D55" s="864">
        <f t="shared" si="1"/>
        <v>9160</v>
      </c>
      <c r="E55" s="864">
        <v>0</v>
      </c>
      <c r="F55" s="864">
        <f t="shared" si="2"/>
        <v>6781</v>
      </c>
      <c r="G55" s="864">
        <v>805</v>
      </c>
      <c r="H55" s="864">
        <v>5976</v>
      </c>
      <c r="I55" s="864">
        <f t="shared" si="3"/>
        <v>2379</v>
      </c>
      <c r="J55" s="864">
        <v>700</v>
      </c>
      <c r="K55" s="864">
        <v>1679</v>
      </c>
      <c r="L55" s="864">
        <v>7669</v>
      </c>
    </row>
    <row r="56" spans="1:12" x14ac:dyDescent="0.25">
      <c r="A56" s="2">
        <v>45</v>
      </c>
      <c r="B56" s="458" t="s">
        <v>103</v>
      </c>
      <c r="C56" s="459" t="s">
        <v>104</v>
      </c>
      <c r="D56" s="864">
        <f t="shared" si="1"/>
        <v>13589</v>
      </c>
      <c r="E56" s="864">
        <v>0</v>
      </c>
      <c r="F56" s="864">
        <f t="shared" si="2"/>
        <v>12185</v>
      </c>
      <c r="G56" s="864">
        <v>2420</v>
      </c>
      <c r="H56" s="864">
        <v>9765</v>
      </c>
      <c r="I56" s="864">
        <f t="shared" si="3"/>
        <v>1404</v>
      </c>
      <c r="J56" s="864">
        <v>104</v>
      </c>
      <c r="K56" s="864">
        <v>1300</v>
      </c>
      <c r="L56" s="864">
        <v>11826</v>
      </c>
    </row>
    <row r="57" spans="1:12" x14ac:dyDescent="0.25">
      <c r="A57" s="443">
        <v>46</v>
      </c>
      <c r="B57" s="461" t="s">
        <v>105</v>
      </c>
      <c r="C57" s="462" t="s">
        <v>106</v>
      </c>
      <c r="D57" s="864">
        <f t="shared" si="1"/>
        <v>5263</v>
      </c>
      <c r="E57" s="864">
        <v>0</v>
      </c>
      <c r="F57" s="864">
        <f t="shared" si="2"/>
        <v>4235</v>
      </c>
      <c r="G57" s="864">
        <v>666</v>
      </c>
      <c r="H57" s="864">
        <v>3569</v>
      </c>
      <c r="I57" s="864">
        <f t="shared" si="3"/>
        <v>1028</v>
      </c>
      <c r="J57" s="864">
        <v>204</v>
      </c>
      <c r="K57" s="864">
        <v>824</v>
      </c>
      <c r="L57" s="864">
        <v>6876</v>
      </c>
    </row>
    <row r="58" spans="1:12" x14ac:dyDescent="0.25">
      <c r="A58" s="2">
        <v>47</v>
      </c>
      <c r="B58" s="461" t="s">
        <v>107</v>
      </c>
      <c r="C58" s="462" t="s">
        <v>108</v>
      </c>
      <c r="D58" s="864">
        <f t="shared" si="1"/>
        <v>13597</v>
      </c>
      <c r="E58" s="864">
        <v>0</v>
      </c>
      <c r="F58" s="864">
        <f t="shared" si="2"/>
        <v>12034</v>
      </c>
      <c r="G58" s="864">
        <v>2073</v>
      </c>
      <c r="H58" s="864">
        <v>9961</v>
      </c>
      <c r="I58" s="864">
        <f t="shared" si="3"/>
        <v>1563</v>
      </c>
      <c r="J58" s="864">
        <v>69</v>
      </c>
      <c r="K58" s="864">
        <v>1494</v>
      </c>
      <c r="L58" s="864">
        <v>10643</v>
      </c>
    </row>
    <row r="59" spans="1:12" x14ac:dyDescent="0.25">
      <c r="A59" s="443">
        <v>48</v>
      </c>
      <c r="B59" s="460" t="s">
        <v>109</v>
      </c>
      <c r="C59" s="459" t="s">
        <v>110</v>
      </c>
      <c r="D59" s="864">
        <f t="shared" si="1"/>
        <v>11622</v>
      </c>
      <c r="E59" s="864">
        <v>0</v>
      </c>
      <c r="F59" s="864">
        <f t="shared" si="2"/>
        <v>5728</v>
      </c>
      <c r="G59" s="864">
        <v>1199</v>
      </c>
      <c r="H59" s="864">
        <v>4529</v>
      </c>
      <c r="I59" s="864">
        <f t="shared" si="3"/>
        <v>5894</v>
      </c>
      <c r="J59" s="864">
        <v>0</v>
      </c>
      <c r="K59" s="864">
        <v>5894</v>
      </c>
      <c r="L59" s="864">
        <v>10150</v>
      </c>
    </row>
    <row r="60" spans="1:12" x14ac:dyDescent="0.25">
      <c r="A60" s="2">
        <v>49</v>
      </c>
      <c r="B60" s="461" t="s">
        <v>111</v>
      </c>
      <c r="C60" s="462" t="s">
        <v>112</v>
      </c>
      <c r="D60" s="864">
        <f t="shared" si="1"/>
        <v>6576</v>
      </c>
      <c r="E60" s="864">
        <v>0</v>
      </c>
      <c r="F60" s="864">
        <f t="shared" si="2"/>
        <v>5320</v>
      </c>
      <c r="G60" s="864">
        <v>601</v>
      </c>
      <c r="H60" s="864">
        <v>4719</v>
      </c>
      <c r="I60" s="864">
        <f t="shared" si="3"/>
        <v>1256</v>
      </c>
      <c r="J60" s="864">
        <v>0</v>
      </c>
      <c r="K60" s="864">
        <v>1256</v>
      </c>
      <c r="L60" s="864">
        <v>3976</v>
      </c>
    </row>
    <row r="61" spans="1:12" x14ac:dyDescent="0.25">
      <c r="A61" s="443">
        <v>50</v>
      </c>
      <c r="B61" s="460" t="s">
        <v>113</v>
      </c>
      <c r="C61" s="459" t="s">
        <v>114</v>
      </c>
      <c r="D61" s="864">
        <f t="shared" si="1"/>
        <v>8420</v>
      </c>
      <c r="E61" s="864">
        <v>0</v>
      </c>
      <c r="F61" s="864">
        <f t="shared" si="2"/>
        <v>5881</v>
      </c>
      <c r="G61" s="864">
        <v>1022</v>
      </c>
      <c r="H61" s="864">
        <v>4859</v>
      </c>
      <c r="I61" s="864">
        <f t="shared" si="3"/>
        <v>2539</v>
      </c>
      <c r="J61" s="864">
        <v>346</v>
      </c>
      <c r="K61" s="864">
        <v>2193</v>
      </c>
      <c r="L61" s="864">
        <v>5429</v>
      </c>
    </row>
    <row r="62" spans="1:12" x14ac:dyDescent="0.25">
      <c r="A62" s="2">
        <v>51</v>
      </c>
      <c r="B62" s="461" t="s">
        <v>115</v>
      </c>
      <c r="C62" s="462" t="s">
        <v>116</v>
      </c>
      <c r="D62" s="864">
        <f t="shared" si="1"/>
        <v>16764</v>
      </c>
      <c r="E62" s="864">
        <v>0</v>
      </c>
      <c r="F62" s="864">
        <f t="shared" si="2"/>
        <v>14750</v>
      </c>
      <c r="G62" s="864">
        <v>1186</v>
      </c>
      <c r="H62" s="864">
        <v>13564</v>
      </c>
      <c r="I62" s="864">
        <f t="shared" si="3"/>
        <v>2014</v>
      </c>
      <c r="J62" s="864">
        <v>101</v>
      </c>
      <c r="K62" s="864">
        <v>1913</v>
      </c>
      <c r="L62" s="864">
        <v>12912</v>
      </c>
    </row>
    <row r="63" spans="1:12" x14ac:dyDescent="0.25">
      <c r="A63" s="443">
        <v>52</v>
      </c>
      <c r="B63" s="461" t="s">
        <v>117</v>
      </c>
      <c r="C63" s="462" t="s">
        <v>118</v>
      </c>
      <c r="D63" s="864">
        <f t="shared" si="1"/>
        <v>34555</v>
      </c>
      <c r="E63" s="864">
        <v>0</v>
      </c>
      <c r="F63" s="864">
        <f t="shared" si="2"/>
        <v>26658</v>
      </c>
      <c r="G63" s="864">
        <v>4353</v>
      </c>
      <c r="H63" s="864">
        <v>22305</v>
      </c>
      <c r="I63" s="864">
        <f t="shared" si="3"/>
        <v>7897</v>
      </c>
      <c r="J63" s="864">
        <v>0</v>
      </c>
      <c r="K63" s="864">
        <v>7897</v>
      </c>
      <c r="L63" s="864">
        <v>35668</v>
      </c>
    </row>
    <row r="64" spans="1:12" x14ac:dyDescent="0.25">
      <c r="A64" s="2">
        <v>53</v>
      </c>
      <c r="B64" s="461" t="s">
        <v>119</v>
      </c>
      <c r="C64" s="462" t="s">
        <v>120</v>
      </c>
      <c r="D64" s="864">
        <f t="shared" si="1"/>
        <v>5891</v>
      </c>
      <c r="E64" s="864">
        <v>0</v>
      </c>
      <c r="F64" s="864">
        <f t="shared" si="2"/>
        <v>4902</v>
      </c>
      <c r="G64" s="864">
        <v>636</v>
      </c>
      <c r="H64" s="864">
        <v>4266</v>
      </c>
      <c r="I64" s="864">
        <f t="shared" si="3"/>
        <v>989</v>
      </c>
      <c r="J64" s="864">
        <v>0</v>
      </c>
      <c r="K64" s="864">
        <v>989</v>
      </c>
      <c r="L64" s="864">
        <v>5969</v>
      </c>
    </row>
    <row r="65" spans="1:12" x14ac:dyDescent="0.25">
      <c r="A65" s="443">
        <v>54</v>
      </c>
      <c r="B65" s="461" t="s">
        <v>121</v>
      </c>
      <c r="C65" s="462" t="s">
        <v>122</v>
      </c>
      <c r="D65" s="864">
        <f t="shared" si="1"/>
        <v>0</v>
      </c>
      <c r="E65" s="864">
        <v>0</v>
      </c>
      <c r="F65" s="864">
        <f t="shared" si="2"/>
        <v>0</v>
      </c>
      <c r="G65" s="864">
        <v>0</v>
      </c>
      <c r="H65" s="864">
        <v>0</v>
      </c>
      <c r="I65" s="864">
        <f t="shared" si="3"/>
        <v>0</v>
      </c>
      <c r="J65" s="864">
        <v>0</v>
      </c>
      <c r="K65" s="864">
        <v>0</v>
      </c>
      <c r="L65" s="864">
        <v>0</v>
      </c>
    </row>
    <row r="66" spans="1:12" x14ac:dyDescent="0.25">
      <c r="A66" s="2">
        <v>55</v>
      </c>
      <c r="B66" s="461" t="s">
        <v>123</v>
      </c>
      <c r="C66" s="462" t="s">
        <v>124</v>
      </c>
      <c r="D66" s="864">
        <f t="shared" si="1"/>
        <v>0</v>
      </c>
      <c r="E66" s="864">
        <v>0</v>
      </c>
      <c r="F66" s="864">
        <f t="shared" si="2"/>
        <v>0</v>
      </c>
      <c r="G66" s="864">
        <v>0</v>
      </c>
      <c r="H66" s="864">
        <v>0</v>
      </c>
      <c r="I66" s="864">
        <f t="shared" si="3"/>
        <v>0</v>
      </c>
      <c r="J66" s="864">
        <v>0</v>
      </c>
      <c r="K66" s="864">
        <v>0</v>
      </c>
      <c r="L66" s="864">
        <v>0</v>
      </c>
    </row>
    <row r="67" spans="1:12" ht="24" x14ac:dyDescent="0.25">
      <c r="A67" s="443">
        <v>56</v>
      </c>
      <c r="B67" s="464" t="s">
        <v>125</v>
      </c>
      <c r="C67" s="69" t="s">
        <v>126</v>
      </c>
      <c r="D67" s="864">
        <f t="shared" si="1"/>
        <v>0</v>
      </c>
      <c r="E67" s="864">
        <v>0</v>
      </c>
      <c r="F67" s="864">
        <f t="shared" si="2"/>
        <v>0</v>
      </c>
      <c r="G67" s="864">
        <v>0</v>
      </c>
      <c r="H67" s="864">
        <v>0</v>
      </c>
      <c r="I67" s="864">
        <f t="shared" si="3"/>
        <v>0</v>
      </c>
      <c r="J67" s="864">
        <v>0</v>
      </c>
      <c r="K67" s="864">
        <v>0</v>
      </c>
      <c r="L67" s="864">
        <v>0</v>
      </c>
    </row>
    <row r="68" spans="1:12" ht="24" x14ac:dyDescent="0.25">
      <c r="A68" s="2">
        <v>57</v>
      </c>
      <c r="B68" s="461" t="s">
        <v>127</v>
      </c>
      <c r="C68" s="462" t="s">
        <v>128</v>
      </c>
      <c r="D68" s="864">
        <f t="shared" si="1"/>
        <v>10107</v>
      </c>
      <c r="E68" s="864">
        <v>0</v>
      </c>
      <c r="F68" s="864">
        <f t="shared" si="2"/>
        <v>0</v>
      </c>
      <c r="G68" s="864">
        <v>0</v>
      </c>
      <c r="H68" s="864">
        <v>0</v>
      </c>
      <c r="I68" s="864">
        <f t="shared" si="3"/>
        <v>10107</v>
      </c>
      <c r="J68" s="864">
        <v>360</v>
      </c>
      <c r="K68" s="864">
        <v>9747</v>
      </c>
      <c r="L68" s="864">
        <v>0</v>
      </c>
    </row>
    <row r="69" spans="1:12" ht="24" x14ac:dyDescent="0.25">
      <c r="A69" s="443">
        <v>58</v>
      </c>
      <c r="B69" s="460" t="s">
        <v>129</v>
      </c>
      <c r="C69" s="462" t="s">
        <v>130</v>
      </c>
      <c r="D69" s="864">
        <f t="shared" si="1"/>
        <v>11348</v>
      </c>
      <c r="E69" s="864">
        <v>0</v>
      </c>
      <c r="F69" s="864">
        <f t="shared" si="2"/>
        <v>0</v>
      </c>
      <c r="G69" s="864">
        <v>0</v>
      </c>
      <c r="H69" s="864">
        <v>0</v>
      </c>
      <c r="I69" s="864">
        <f t="shared" si="3"/>
        <v>11348</v>
      </c>
      <c r="J69" s="864">
        <v>516</v>
      </c>
      <c r="K69" s="864">
        <v>10832</v>
      </c>
      <c r="L69" s="864">
        <v>0</v>
      </c>
    </row>
    <row r="70" spans="1:12" ht="24" x14ac:dyDescent="0.25">
      <c r="A70" s="2">
        <v>59</v>
      </c>
      <c r="B70" s="463" t="s">
        <v>131</v>
      </c>
      <c r="C70" s="69" t="s">
        <v>132</v>
      </c>
      <c r="D70" s="864">
        <f t="shared" si="1"/>
        <v>26055</v>
      </c>
      <c r="E70" s="864">
        <v>0</v>
      </c>
      <c r="F70" s="864">
        <f t="shared" si="2"/>
        <v>0</v>
      </c>
      <c r="G70" s="864">
        <v>0</v>
      </c>
      <c r="H70" s="864">
        <v>0</v>
      </c>
      <c r="I70" s="864">
        <f t="shared" si="3"/>
        <v>26055</v>
      </c>
      <c r="J70" s="864">
        <v>0</v>
      </c>
      <c r="K70" s="864">
        <v>26055</v>
      </c>
      <c r="L70" s="864">
        <v>0</v>
      </c>
    </row>
    <row r="71" spans="1:12" ht="24" x14ac:dyDescent="0.25">
      <c r="A71" s="443">
        <v>60</v>
      </c>
      <c r="B71" s="460" t="s">
        <v>133</v>
      </c>
      <c r="C71" s="462" t="s">
        <v>134</v>
      </c>
      <c r="D71" s="864">
        <f t="shared" si="1"/>
        <v>23694</v>
      </c>
      <c r="E71" s="864">
        <v>0</v>
      </c>
      <c r="F71" s="864">
        <f t="shared" si="2"/>
        <v>0</v>
      </c>
      <c r="G71" s="864">
        <v>0</v>
      </c>
      <c r="H71" s="864">
        <v>0</v>
      </c>
      <c r="I71" s="864">
        <f t="shared" si="3"/>
        <v>23694</v>
      </c>
      <c r="J71" s="864">
        <v>0</v>
      </c>
      <c r="K71" s="864">
        <v>23694</v>
      </c>
      <c r="L71" s="864">
        <v>0</v>
      </c>
    </row>
    <row r="72" spans="1:12" ht="24" x14ac:dyDescent="0.25">
      <c r="A72" s="2">
        <v>61</v>
      </c>
      <c r="B72" s="461" t="s">
        <v>135</v>
      </c>
      <c r="C72" s="462" t="s">
        <v>136</v>
      </c>
      <c r="D72" s="864">
        <f t="shared" si="1"/>
        <v>11892</v>
      </c>
      <c r="E72" s="864">
        <v>0</v>
      </c>
      <c r="F72" s="864">
        <f t="shared" si="2"/>
        <v>0</v>
      </c>
      <c r="G72" s="864">
        <v>0</v>
      </c>
      <c r="H72" s="864">
        <v>0</v>
      </c>
      <c r="I72" s="864">
        <f t="shared" si="3"/>
        <v>11892</v>
      </c>
      <c r="J72" s="864">
        <v>1040</v>
      </c>
      <c r="K72" s="864">
        <v>10852</v>
      </c>
      <c r="L72" s="864">
        <v>0</v>
      </c>
    </row>
    <row r="73" spans="1:12" ht="36" x14ac:dyDescent="0.25">
      <c r="A73" s="443">
        <v>62</v>
      </c>
      <c r="B73" s="458" t="s">
        <v>137</v>
      </c>
      <c r="C73" s="462" t="s">
        <v>138</v>
      </c>
      <c r="D73" s="864">
        <f t="shared" si="1"/>
        <v>0</v>
      </c>
      <c r="E73" s="864">
        <v>0</v>
      </c>
      <c r="F73" s="864">
        <f t="shared" si="2"/>
        <v>0</v>
      </c>
      <c r="G73" s="864">
        <v>0</v>
      </c>
      <c r="H73" s="864">
        <v>0</v>
      </c>
      <c r="I73" s="864">
        <f t="shared" si="3"/>
        <v>0</v>
      </c>
      <c r="J73" s="864">
        <v>0</v>
      </c>
      <c r="K73" s="864">
        <v>0</v>
      </c>
      <c r="L73" s="864">
        <v>0</v>
      </c>
    </row>
    <row r="74" spans="1:12" ht="36" x14ac:dyDescent="0.25">
      <c r="A74" s="2">
        <v>63</v>
      </c>
      <c r="B74" s="458" t="s">
        <v>139</v>
      </c>
      <c r="C74" s="462" t="s">
        <v>140</v>
      </c>
      <c r="D74" s="864">
        <f t="shared" si="1"/>
        <v>0</v>
      </c>
      <c r="E74" s="864">
        <v>0</v>
      </c>
      <c r="F74" s="864">
        <f t="shared" si="2"/>
        <v>0</v>
      </c>
      <c r="G74" s="864">
        <v>0</v>
      </c>
      <c r="H74" s="864">
        <v>0</v>
      </c>
      <c r="I74" s="864">
        <f t="shared" si="3"/>
        <v>0</v>
      </c>
      <c r="J74" s="864">
        <v>0</v>
      </c>
      <c r="K74" s="864">
        <v>0</v>
      </c>
      <c r="L74" s="864">
        <v>0</v>
      </c>
    </row>
    <row r="75" spans="1:12" x14ac:dyDescent="0.25">
      <c r="A75" s="443">
        <v>64</v>
      </c>
      <c r="B75" s="460" t="s">
        <v>141</v>
      </c>
      <c r="C75" s="462" t="s">
        <v>142</v>
      </c>
      <c r="D75" s="864">
        <f t="shared" si="1"/>
        <v>22257</v>
      </c>
      <c r="E75" s="864">
        <v>0</v>
      </c>
      <c r="F75" s="864">
        <f t="shared" si="2"/>
        <v>22257</v>
      </c>
      <c r="G75" s="864">
        <v>4760</v>
      </c>
      <c r="H75" s="864">
        <v>17497</v>
      </c>
      <c r="I75" s="864">
        <f t="shared" si="3"/>
        <v>0</v>
      </c>
      <c r="J75" s="864">
        <v>0</v>
      </c>
      <c r="K75" s="864">
        <v>0</v>
      </c>
      <c r="L75" s="864">
        <v>26470</v>
      </c>
    </row>
    <row r="76" spans="1:12" x14ac:dyDescent="0.25">
      <c r="A76" s="2">
        <v>65</v>
      </c>
      <c r="B76" s="460" t="s">
        <v>143</v>
      </c>
      <c r="C76" s="459" t="s">
        <v>144</v>
      </c>
      <c r="D76" s="864">
        <f t="shared" ref="D76:D139" si="4">E76+F76+I76</f>
        <v>41782</v>
      </c>
      <c r="E76" s="864">
        <v>0</v>
      </c>
      <c r="F76" s="864">
        <f t="shared" ref="F76:F139" si="5">G76+H76</f>
        <v>41782</v>
      </c>
      <c r="G76" s="864">
        <v>4652</v>
      </c>
      <c r="H76" s="864">
        <v>37130</v>
      </c>
      <c r="I76" s="864">
        <f t="shared" ref="I76:I139" si="6">J76+K76</f>
        <v>0</v>
      </c>
      <c r="J76" s="864">
        <v>0</v>
      </c>
      <c r="K76" s="864">
        <v>0</v>
      </c>
      <c r="L76" s="864">
        <v>30027</v>
      </c>
    </row>
    <row r="77" spans="1:12" x14ac:dyDescent="0.25">
      <c r="A77" s="443">
        <v>66</v>
      </c>
      <c r="B77" s="460" t="s">
        <v>145</v>
      </c>
      <c r="C77" s="462" t="s">
        <v>146</v>
      </c>
      <c r="D77" s="864">
        <f t="shared" si="4"/>
        <v>60904</v>
      </c>
      <c r="E77" s="864">
        <v>0</v>
      </c>
      <c r="F77" s="864">
        <f t="shared" si="5"/>
        <v>60904</v>
      </c>
      <c r="G77" s="864">
        <v>9311</v>
      </c>
      <c r="H77" s="864">
        <v>51593</v>
      </c>
      <c r="I77" s="864">
        <f t="shared" si="6"/>
        <v>0</v>
      </c>
      <c r="J77" s="864">
        <v>0</v>
      </c>
      <c r="K77" s="864">
        <v>0</v>
      </c>
      <c r="L77" s="864">
        <v>42131</v>
      </c>
    </row>
    <row r="78" spans="1:12" ht="24" x14ac:dyDescent="0.25">
      <c r="A78" s="2">
        <v>67</v>
      </c>
      <c r="B78" s="460" t="s">
        <v>147</v>
      </c>
      <c r="C78" s="462" t="s">
        <v>148</v>
      </c>
      <c r="D78" s="864">
        <f t="shared" si="4"/>
        <v>7</v>
      </c>
      <c r="E78" s="864">
        <v>7</v>
      </c>
      <c r="F78" s="864">
        <f t="shared" si="5"/>
        <v>0</v>
      </c>
      <c r="G78" s="864">
        <v>0</v>
      </c>
      <c r="H78" s="864">
        <v>0</v>
      </c>
      <c r="I78" s="864">
        <f t="shared" si="6"/>
        <v>0</v>
      </c>
      <c r="J78" s="864">
        <v>0</v>
      </c>
      <c r="K78" s="864">
        <v>0</v>
      </c>
      <c r="L78" s="864">
        <v>7</v>
      </c>
    </row>
    <row r="79" spans="1:12" ht="24" x14ac:dyDescent="0.25">
      <c r="A79" s="443">
        <v>68</v>
      </c>
      <c r="B79" s="458" t="s">
        <v>149</v>
      </c>
      <c r="C79" s="462" t="s">
        <v>150</v>
      </c>
      <c r="D79" s="864">
        <f t="shared" si="4"/>
        <v>1</v>
      </c>
      <c r="E79" s="864">
        <v>1</v>
      </c>
      <c r="F79" s="864">
        <f t="shared" si="5"/>
        <v>0</v>
      </c>
      <c r="G79" s="864">
        <v>0</v>
      </c>
      <c r="H79" s="864">
        <v>0</v>
      </c>
      <c r="I79" s="864">
        <f t="shared" si="6"/>
        <v>0</v>
      </c>
      <c r="J79" s="864">
        <v>0</v>
      </c>
      <c r="K79" s="864">
        <v>0</v>
      </c>
      <c r="L79" s="864">
        <v>8</v>
      </c>
    </row>
    <row r="80" spans="1:12" ht="24" x14ac:dyDescent="0.25">
      <c r="A80" s="2">
        <v>69</v>
      </c>
      <c r="B80" s="460" t="s">
        <v>151</v>
      </c>
      <c r="C80" s="462" t="s">
        <v>152</v>
      </c>
      <c r="D80" s="864">
        <f t="shared" si="4"/>
        <v>13</v>
      </c>
      <c r="E80" s="864">
        <v>13</v>
      </c>
      <c r="F80" s="864">
        <f t="shared" si="5"/>
        <v>0</v>
      </c>
      <c r="G80" s="864">
        <v>0</v>
      </c>
      <c r="H80" s="864">
        <v>0</v>
      </c>
      <c r="I80" s="864">
        <f t="shared" si="6"/>
        <v>0</v>
      </c>
      <c r="J80" s="864">
        <v>0</v>
      </c>
      <c r="K80" s="864">
        <v>0</v>
      </c>
      <c r="L80" s="864">
        <v>12</v>
      </c>
    </row>
    <row r="81" spans="1:12" ht="24" x14ac:dyDescent="0.25">
      <c r="A81" s="443">
        <v>70</v>
      </c>
      <c r="B81" s="460" t="s">
        <v>153</v>
      </c>
      <c r="C81" s="462" t="s">
        <v>154</v>
      </c>
      <c r="D81" s="864">
        <f t="shared" si="4"/>
        <v>571</v>
      </c>
      <c r="E81" s="864">
        <v>571</v>
      </c>
      <c r="F81" s="864">
        <f t="shared" si="5"/>
        <v>0</v>
      </c>
      <c r="G81" s="864">
        <v>0</v>
      </c>
      <c r="H81" s="864">
        <v>0</v>
      </c>
      <c r="I81" s="864">
        <f t="shared" si="6"/>
        <v>0</v>
      </c>
      <c r="J81" s="864">
        <v>0</v>
      </c>
      <c r="K81" s="864">
        <v>0</v>
      </c>
      <c r="L81" s="864">
        <v>19</v>
      </c>
    </row>
    <row r="82" spans="1:12" ht="24" x14ac:dyDescent="0.25">
      <c r="A82" s="2">
        <v>71</v>
      </c>
      <c r="B82" s="458" t="s">
        <v>155</v>
      </c>
      <c r="C82" s="462" t="s">
        <v>156</v>
      </c>
      <c r="D82" s="864">
        <f t="shared" si="4"/>
        <v>0</v>
      </c>
      <c r="E82" s="864">
        <v>0</v>
      </c>
      <c r="F82" s="864">
        <f t="shared" si="5"/>
        <v>0</v>
      </c>
      <c r="G82" s="864">
        <v>0</v>
      </c>
      <c r="H82" s="864">
        <v>0</v>
      </c>
      <c r="I82" s="864">
        <f t="shared" si="6"/>
        <v>0</v>
      </c>
      <c r="J82" s="864">
        <v>0</v>
      </c>
      <c r="K82" s="864">
        <v>0</v>
      </c>
      <c r="L82" s="864">
        <v>0</v>
      </c>
    </row>
    <row r="83" spans="1:12" ht="24" x14ac:dyDescent="0.25">
      <c r="A83" s="443">
        <v>72</v>
      </c>
      <c r="B83" s="458" t="s">
        <v>157</v>
      </c>
      <c r="C83" s="462" t="s">
        <v>158</v>
      </c>
      <c r="D83" s="864">
        <f t="shared" si="4"/>
        <v>6</v>
      </c>
      <c r="E83" s="864">
        <v>6</v>
      </c>
      <c r="F83" s="864">
        <f t="shared" si="5"/>
        <v>0</v>
      </c>
      <c r="G83" s="864">
        <v>0</v>
      </c>
      <c r="H83" s="864">
        <v>0</v>
      </c>
      <c r="I83" s="864">
        <f t="shared" si="6"/>
        <v>0</v>
      </c>
      <c r="J83" s="864">
        <v>0</v>
      </c>
      <c r="K83" s="864">
        <v>0</v>
      </c>
      <c r="L83" s="864">
        <v>10</v>
      </c>
    </row>
    <row r="84" spans="1:12" ht="24" x14ac:dyDescent="0.25">
      <c r="A84" s="2">
        <v>73</v>
      </c>
      <c r="B84" s="458" t="s">
        <v>159</v>
      </c>
      <c r="C84" s="462" t="s">
        <v>160</v>
      </c>
      <c r="D84" s="864">
        <f t="shared" si="4"/>
        <v>0</v>
      </c>
      <c r="E84" s="864">
        <v>0</v>
      </c>
      <c r="F84" s="864">
        <f t="shared" si="5"/>
        <v>0</v>
      </c>
      <c r="G84" s="864">
        <v>0</v>
      </c>
      <c r="H84" s="864">
        <v>0</v>
      </c>
      <c r="I84" s="864">
        <f t="shared" si="6"/>
        <v>0</v>
      </c>
      <c r="J84" s="864">
        <v>0</v>
      </c>
      <c r="K84" s="864">
        <v>0</v>
      </c>
      <c r="L84" s="864">
        <v>0</v>
      </c>
    </row>
    <row r="85" spans="1:12" ht="24" x14ac:dyDescent="0.25">
      <c r="A85" s="443">
        <v>74</v>
      </c>
      <c r="B85" s="461" t="s">
        <v>161</v>
      </c>
      <c r="C85" s="462" t="s">
        <v>162</v>
      </c>
      <c r="D85" s="864">
        <f t="shared" si="4"/>
        <v>26956</v>
      </c>
      <c r="E85" s="864">
        <v>0</v>
      </c>
      <c r="F85" s="864">
        <f t="shared" si="5"/>
        <v>24356</v>
      </c>
      <c r="G85" s="864">
        <v>4129</v>
      </c>
      <c r="H85" s="864">
        <v>20227</v>
      </c>
      <c r="I85" s="864">
        <f t="shared" si="6"/>
        <v>2600</v>
      </c>
      <c r="J85" s="864">
        <v>375</v>
      </c>
      <c r="K85" s="864">
        <v>2225</v>
      </c>
      <c r="L85" s="864">
        <v>25904</v>
      </c>
    </row>
    <row r="86" spans="1:12" x14ac:dyDescent="0.25">
      <c r="A86" s="2">
        <v>75</v>
      </c>
      <c r="B86" s="458" t="s">
        <v>163</v>
      </c>
      <c r="C86" s="462" t="s">
        <v>164</v>
      </c>
      <c r="D86" s="864">
        <f t="shared" si="4"/>
        <v>56161</v>
      </c>
      <c r="E86" s="864">
        <v>0</v>
      </c>
      <c r="F86" s="864">
        <f t="shared" si="5"/>
        <v>55661</v>
      </c>
      <c r="G86" s="864">
        <v>9297</v>
      </c>
      <c r="H86" s="864">
        <v>46364</v>
      </c>
      <c r="I86" s="864">
        <f t="shared" si="6"/>
        <v>500</v>
      </c>
      <c r="J86" s="864">
        <v>0</v>
      </c>
      <c r="K86" s="864">
        <v>500</v>
      </c>
      <c r="L86" s="864">
        <v>37113</v>
      </c>
    </row>
    <row r="87" spans="1:12" x14ac:dyDescent="0.25">
      <c r="A87" s="443">
        <v>76</v>
      </c>
      <c r="B87" s="461" t="s">
        <v>165</v>
      </c>
      <c r="C87" s="462" t="s">
        <v>166</v>
      </c>
      <c r="D87" s="864">
        <f t="shared" si="4"/>
        <v>31524</v>
      </c>
      <c r="E87" s="864">
        <v>0</v>
      </c>
      <c r="F87" s="864">
        <f t="shared" si="5"/>
        <v>31524</v>
      </c>
      <c r="G87" s="864">
        <v>5206</v>
      </c>
      <c r="H87" s="864">
        <v>26318</v>
      </c>
      <c r="I87" s="864">
        <f t="shared" si="6"/>
        <v>0</v>
      </c>
      <c r="J87" s="864">
        <v>0</v>
      </c>
      <c r="K87" s="864">
        <v>0</v>
      </c>
      <c r="L87" s="864">
        <v>31971</v>
      </c>
    </row>
    <row r="88" spans="1:12" x14ac:dyDescent="0.25">
      <c r="A88" s="2">
        <v>77</v>
      </c>
      <c r="B88" s="463" t="s">
        <v>167</v>
      </c>
      <c r="C88" s="69" t="s">
        <v>168</v>
      </c>
      <c r="D88" s="864">
        <f t="shared" si="4"/>
        <v>12769</v>
      </c>
      <c r="E88" s="864">
        <v>0</v>
      </c>
      <c r="F88" s="864">
        <f t="shared" si="5"/>
        <v>12769</v>
      </c>
      <c r="G88" s="864">
        <v>3198</v>
      </c>
      <c r="H88" s="864">
        <v>9571</v>
      </c>
      <c r="I88" s="864">
        <f t="shared" si="6"/>
        <v>0</v>
      </c>
      <c r="J88" s="864">
        <v>0</v>
      </c>
      <c r="K88" s="864">
        <v>0</v>
      </c>
      <c r="L88" s="864">
        <v>7895</v>
      </c>
    </row>
    <row r="89" spans="1:12" x14ac:dyDescent="0.25">
      <c r="A89" s="443">
        <v>78</v>
      </c>
      <c r="B89" s="458" t="s">
        <v>169</v>
      </c>
      <c r="C89" s="462" t="s">
        <v>170</v>
      </c>
      <c r="D89" s="864">
        <f t="shared" si="4"/>
        <v>46063</v>
      </c>
      <c r="E89" s="864">
        <v>0</v>
      </c>
      <c r="F89" s="864">
        <f t="shared" si="5"/>
        <v>46063</v>
      </c>
      <c r="G89" s="864">
        <v>6747</v>
      </c>
      <c r="H89" s="864">
        <v>39316</v>
      </c>
      <c r="I89" s="864">
        <f t="shared" si="6"/>
        <v>0</v>
      </c>
      <c r="J89" s="864">
        <v>0</v>
      </c>
      <c r="K89" s="864">
        <v>0</v>
      </c>
      <c r="L89" s="864">
        <v>58440</v>
      </c>
    </row>
    <row r="90" spans="1:12" x14ac:dyDescent="0.25">
      <c r="A90" s="2">
        <v>79</v>
      </c>
      <c r="B90" s="463" t="s">
        <v>171</v>
      </c>
      <c r="C90" s="69" t="s">
        <v>172</v>
      </c>
      <c r="D90" s="864">
        <f t="shared" si="4"/>
        <v>23053</v>
      </c>
      <c r="E90" s="864">
        <v>0</v>
      </c>
      <c r="F90" s="864">
        <f t="shared" si="5"/>
        <v>0</v>
      </c>
      <c r="G90" s="864">
        <v>0</v>
      </c>
      <c r="H90" s="864">
        <v>0</v>
      </c>
      <c r="I90" s="864">
        <f t="shared" si="6"/>
        <v>23053</v>
      </c>
      <c r="J90" s="864">
        <v>1056</v>
      </c>
      <c r="K90" s="864">
        <v>21997</v>
      </c>
      <c r="L90" s="864">
        <v>0</v>
      </c>
    </row>
    <row r="91" spans="1:12" x14ac:dyDescent="0.25">
      <c r="A91" s="443">
        <v>80</v>
      </c>
      <c r="B91" s="458" t="s">
        <v>173</v>
      </c>
      <c r="C91" s="462" t="s">
        <v>174</v>
      </c>
      <c r="D91" s="864">
        <f t="shared" si="4"/>
        <v>41471</v>
      </c>
      <c r="E91" s="864">
        <v>0</v>
      </c>
      <c r="F91" s="864">
        <f t="shared" si="5"/>
        <v>41471</v>
      </c>
      <c r="G91" s="864">
        <v>6878</v>
      </c>
      <c r="H91" s="864">
        <v>34593</v>
      </c>
      <c r="I91" s="864">
        <f t="shared" si="6"/>
        <v>0</v>
      </c>
      <c r="J91" s="864">
        <v>0</v>
      </c>
      <c r="K91" s="864">
        <v>0</v>
      </c>
      <c r="L91" s="864">
        <v>37572</v>
      </c>
    </row>
    <row r="92" spans="1:12" x14ac:dyDescent="0.25">
      <c r="A92" s="2">
        <v>81</v>
      </c>
      <c r="B92" s="463" t="s">
        <v>175</v>
      </c>
      <c r="C92" s="69" t="s">
        <v>754</v>
      </c>
      <c r="D92" s="864">
        <f t="shared" si="4"/>
        <v>0</v>
      </c>
      <c r="E92" s="864">
        <v>0</v>
      </c>
      <c r="F92" s="864">
        <f t="shared" si="5"/>
        <v>0</v>
      </c>
      <c r="G92" s="864">
        <v>0</v>
      </c>
      <c r="H92" s="864">
        <v>0</v>
      </c>
      <c r="I92" s="864">
        <f t="shared" si="6"/>
        <v>0</v>
      </c>
      <c r="J92" s="864">
        <v>0</v>
      </c>
      <c r="K92" s="864">
        <v>0</v>
      </c>
      <c r="L92" s="864">
        <v>0</v>
      </c>
    </row>
    <row r="93" spans="1:12" x14ac:dyDescent="0.25">
      <c r="A93" s="443">
        <v>82</v>
      </c>
      <c r="B93" s="460" t="s">
        <v>177</v>
      </c>
      <c r="C93" s="462" t="s">
        <v>358</v>
      </c>
      <c r="D93" s="864">
        <f t="shared" si="4"/>
        <v>0</v>
      </c>
      <c r="E93" s="864">
        <v>0</v>
      </c>
      <c r="F93" s="864">
        <f t="shared" si="5"/>
        <v>0</v>
      </c>
      <c r="G93" s="864">
        <v>0</v>
      </c>
      <c r="H93" s="864">
        <v>0</v>
      </c>
      <c r="I93" s="864">
        <f t="shared" si="6"/>
        <v>0</v>
      </c>
      <c r="J93" s="864">
        <v>0</v>
      </c>
      <c r="K93" s="864">
        <v>0</v>
      </c>
      <c r="L93" s="864">
        <v>0</v>
      </c>
    </row>
    <row r="94" spans="1:12" ht="55.5" customHeight="1" x14ac:dyDescent="0.25">
      <c r="A94" s="988">
        <v>83</v>
      </c>
      <c r="B94" s="1014" t="s">
        <v>178</v>
      </c>
      <c r="C94" s="69" t="s">
        <v>752</v>
      </c>
      <c r="D94" s="864">
        <f t="shared" si="4"/>
        <v>462</v>
      </c>
      <c r="E94" s="864">
        <v>0</v>
      </c>
      <c r="F94" s="864">
        <f t="shared" si="5"/>
        <v>462</v>
      </c>
      <c r="G94" s="864">
        <v>128</v>
      </c>
      <c r="H94" s="864">
        <v>334</v>
      </c>
      <c r="I94" s="864">
        <f t="shared" si="6"/>
        <v>0</v>
      </c>
      <c r="J94" s="864">
        <v>0</v>
      </c>
      <c r="K94" s="864">
        <v>0</v>
      </c>
      <c r="L94" s="864">
        <v>194</v>
      </c>
    </row>
    <row r="95" spans="1:12" ht="24" x14ac:dyDescent="0.25">
      <c r="A95" s="989"/>
      <c r="B95" s="1015"/>
      <c r="C95" s="462" t="s">
        <v>180</v>
      </c>
      <c r="D95" s="864">
        <f t="shared" si="4"/>
        <v>0</v>
      </c>
      <c r="E95" s="864">
        <v>0</v>
      </c>
      <c r="F95" s="864">
        <f t="shared" si="5"/>
        <v>0</v>
      </c>
      <c r="G95" s="864">
        <v>0</v>
      </c>
      <c r="H95" s="864">
        <v>0</v>
      </c>
      <c r="I95" s="864">
        <f t="shared" si="6"/>
        <v>0</v>
      </c>
      <c r="J95" s="864">
        <v>0</v>
      </c>
      <c r="K95" s="864">
        <v>0</v>
      </c>
      <c r="L95" s="864"/>
    </row>
    <row r="96" spans="1:12" ht="48" x14ac:dyDescent="0.25">
      <c r="A96" s="990"/>
      <c r="B96" s="1016"/>
      <c r="C96" s="203" t="s">
        <v>510</v>
      </c>
      <c r="D96" s="864">
        <f t="shared" si="4"/>
        <v>0</v>
      </c>
      <c r="E96" s="864">
        <v>0</v>
      </c>
      <c r="F96" s="864">
        <f t="shared" si="5"/>
        <v>0</v>
      </c>
      <c r="G96" s="864">
        <v>0</v>
      </c>
      <c r="H96" s="864">
        <v>0</v>
      </c>
      <c r="I96" s="864">
        <f t="shared" si="6"/>
        <v>0</v>
      </c>
      <c r="J96" s="864">
        <v>0</v>
      </c>
      <c r="K96" s="864">
        <v>0</v>
      </c>
      <c r="L96" s="864"/>
    </row>
    <row r="97" spans="1:12" ht="24" x14ac:dyDescent="0.25">
      <c r="A97" s="443">
        <v>84</v>
      </c>
      <c r="B97" s="460" t="s">
        <v>181</v>
      </c>
      <c r="C97" s="459" t="s">
        <v>182</v>
      </c>
      <c r="D97" s="864">
        <f t="shared" si="4"/>
        <v>0</v>
      </c>
      <c r="E97" s="864">
        <v>0</v>
      </c>
      <c r="F97" s="864">
        <f t="shared" si="5"/>
        <v>0</v>
      </c>
      <c r="G97" s="864">
        <v>0</v>
      </c>
      <c r="H97" s="864">
        <v>0</v>
      </c>
      <c r="I97" s="864">
        <f t="shared" si="6"/>
        <v>0</v>
      </c>
      <c r="J97" s="864">
        <v>0</v>
      </c>
      <c r="K97" s="864">
        <v>0</v>
      </c>
      <c r="L97" s="864">
        <v>0</v>
      </c>
    </row>
    <row r="98" spans="1:12" x14ac:dyDescent="0.25">
      <c r="A98" s="443">
        <v>85</v>
      </c>
      <c r="B98" s="460" t="s">
        <v>183</v>
      </c>
      <c r="C98" s="69" t="s">
        <v>184</v>
      </c>
      <c r="D98" s="864">
        <f t="shared" si="4"/>
        <v>1641</v>
      </c>
      <c r="E98" s="864">
        <v>0</v>
      </c>
      <c r="F98" s="864">
        <f t="shared" si="5"/>
        <v>1641</v>
      </c>
      <c r="G98" s="864">
        <v>0</v>
      </c>
      <c r="H98" s="864">
        <v>1641</v>
      </c>
      <c r="I98" s="864">
        <f t="shared" si="6"/>
        <v>0</v>
      </c>
      <c r="J98" s="864">
        <v>0</v>
      </c>
      <c r="K98" s="864">
        <v>0</v>
      </c>
      <c r="L98" s="864">
        <v>2169</v>
      </c>
    </row>
    <row r="99" spans="1:12" x14ac:dyDescent="0.25">
      <c r="A99" s="443">
        <v>86</v>
      </c>
      <c r="B99" s="461" t="s">
        <v>185</v>
      </c>
      <c r="C99" s="462" t="s">
        <v>186</v>
      </c>
      <c r="D99" s="864">
        <f t="shared" si="4"/>
        <v>7284</v>
      </c>
      <c r="E99" s="864">
        <v>0</v>
      </c>
      <c r="F99" s="864">
        <f t="shared" si="5"/>
        <v>7284</v>
      </c>
      <c r="G99" s="864">
        <v>902</v>
      </c>
      <c r="H99" s="864">
        <v>6382</v>
      </c>
      <c r="I99" s="864">
        <f t="shared" si="6"/>
        <v>0</v>
      </c>
      <c r="J99" s="864">
        <v>0</v>
      </c>
      <c r="K99" s="864">
        <v>0</v>
      </c>
      <c r="L99" s="864">
        <v>6690</v>
      </c>
    </row>
    <row r="100" spans="1:12" x14ac:dyDescent="0.25">
      <c r="A100" s="443">
        <v>87</v>
      </c>
      <c r="B100" s="460" t="s">
        <v>187</v>
      </c>
      <c r="C100" s="459" t="s">
        <v>188</v>
      </c>
      <c r="D100" s="864">
        <f t="shared" si="4"/>
        <v>5969</v>
      </c>
      <c r="E100" s="864">
        <v>0</v>
      </c>
      <c r="F100" s="864">
        <f t="shared" si="5"/>
        <v>5004</v>
      </c>
      <c r="G100" s="864">
        <v>733</v>
      </c>
      <c r="H100" s="864">
        <v>4271</v>
      </c>
      <c r="I100" s="864">
        <f t="shared" si="6"/>
        <v>965</v>
      </c>
      <c r="J100" s="864">
        <v>82</v>
      </c>
      <c r="K100" s="864">
        <v>883</v>
      </c>
      <c r="L100" s="864">
        <v>4580</v>
      </c>
    </row>
    <row r="101" spans="1:12" x14ac:dyDescent="0.25">
      <c r="A101" s="443">
        <v>88</v>
      </c>
      <c r="B101" s="461" t="s">
        <v>189</v>
      </c>
      <c r="C101" s="462" t="s">
        <v>190</v>
      </c>
      <c r="D101" s="864">
        <f t="shared" si="4"/>
        <v>5380</v>
      </c>
      <c r="E101" s="864">
        <v>0</v>
      </c>
      <c r="F101" s="864">
        <f t="shared" si="5"/>
        <v>4342</v>
      </c>
      <c r="G101" s="864">
        <v>557</v>
      </c>
      <c r="H101" s="864">
        <v>3785</v>
      </c>
      <c r="I101" s="864">
        <f t="shared" si="6"/>
        <v>1038</v>
      </c>
      <c r="J101" s="864">
        <v>26</v>
      </c>
      <c r="K101" s="864">
        <v>1012</v>
      </c>
      <c r="L101" s="864">
        <v>3583</v>
      </c>
    </row>
    <row r="102" spans="1:12" x14ac:dyDescent="0.25">
      <c r="A102" s="443">
        <v>89</v>
      </c>
      <c r="B102" s="461" t="s">
        <v>191</v>
      </c>
      <c r="C102" s="462" t="s">
        <v>192</v>
      </c>
      <c r="D102" s="864">
        <f t="shared" si="4"/>
        <v>13686</v>
      </c>
      <c r="E102" s="864">
        <v>0</v>
      </c>
      <c r="F102" s="864">
        <f t="shared" si="5"/>
        <v>9904</v>
      </c>
      <c r="G102" s="864">
        <v>2115</v>
      </c>
      <c r="H102" s="864">
        <v>7789</v>
      </c>
      <c r="I102" s="864">
        <f t="shared" si="6"/>
        <v>3782</v>
      </c>
      <c r="J102" s="864">
        <v>0</v>
      </c>
      <c r="K102" s="864">
        <v>3782</v>
      </c>
      <c r="L102" s="864">
        <v>13140</v>
      </c>
    </row>
    <row r="103" spans="1:12" x14ac:dyDescent="0.25">
      <c r="A103" s="443">
        <v>90</v>
      </c>
      <c r="B103" s="460" t="s">
        <v>193</v>
      </c>
      <c r="C103" s="69" t="s">
        <v>194</v>
      </c>
      <c r="D103" s="864">
        <f t="shared" si="4"/>
        <v>6381</v>
      </c>
      <c r="E103" s="864">
        <v>0</v>
      </c>
      <c r="F103" s="864">
        <f t="shared" si="5"/>
        <v>5242</v>
      </c>
      <c r="G103" s="864">
        <v>827</v>
      </c>
      <c r="H103" s="864">
        <v>4415</v>
      </c>
      <c r="I103" s="864">
        <f t="shared" si="6"/>
        <v>1139</v>
      </c>
      <c r="J103" s="864">
        <v>244</v>
      </c>
      <c r="K103" s="864">
        <v>895</v>
      </c>
      <c r="L103" s="864">
        <v>5264</v>
      </c>
    </row>
    <row r="104" spans="1:12" x14ac:dyDescent="0.25">
      <c r="A104" s="443">
        <v>91</v>
      </c>
      <c r="B104" s="460" t="s">
        <v>195</v>
      </c>
      <c r="C104" s="459" t="s">
        <v>196</v>
      </c>
      <c r="D104" s="864">
        <f t="shared" si="4"/>
        <v>13895</v>
      </c>
      <c r="E104" s="864">
        <v>0</v>
      </c>
      <c r="F104" s="864">
        <f t="shared" si="5"/>
        <v>9975</v>
      </c>
      <c r="G104" s="864">
        <v>2684</v>
      </c>
      <c r="H104" s="864">
        <v>7291</v>
      </c>
      <c r="I104" s="864">
        <f t="shared" si="6"/>
        <v>3920</v>
      </c>
      <c r="J104" s="864">
        <v>582</v>
      </c>
      <c r="K104" s="864">
        <v>3338</v>
      </c>
      <c r="L104" s="864">
        <v>10485</v>
      </c>
    </row>
    <row r="105" spans="1:12" x14ac:dyDescent="0.25">
      <c r="A105" s="443">
        <v>92</v>
      </c>
      <c r="B105" s="458" t="s">
        <v>197</v>
      </c>
      <c r="C105" s="459" t="s">
        <v>198</v>
      </c>
      <c r="D105" s="864">
        <f t="shared" si="4"/>
        <v>12466</v>
      </c>
      <c r="E105" s="864">
        <v>0</v>
      </c>
      <c r="F105" s="864">
        <f t="shared" si="5"/>
        <v>9894</v>
      </c>
      <c r="G105" s="864">
        <v>1212</v>
      </c>
      <c r="H105" s="864">
        <v>8682</v>
      </c>
      <c r="I105" s="864">
        <f t="shared" si="6"/>
        <v>2572</v>
      </c>
      <c r="J105" s="864">
        <v>0</v>
      </c>
      <c r="K105" s="864">
        <v>2572</v>
      </c>
      <c r="L105" s="864">
        <v>9656</v>
      </c>
    </row>
    <row r="106" spans="1:12" x14ac:dyDescent="0.25">
      <c r="A106" s="443">
        <v>93</v>
      </c>
      <c r="B106" s="458" t="s">
        <v>199</v>
      </c>
      <c r="C106" s="459" t="s">
        <v>200</v>
      </c>
      <c r="D106" s="864">
        <f t="shared" si="4"/>
        <v>9902</v>
      </c>
      <c r="E106" s="864">
        <v>0</v>
      </c>
      <c r="F106" s="864">
        <f t="shared" si="5"/>
        <v>7448</v>
      </c>
      <c r="G106" s="864">
        <v>1433</v>
      </c>
      <c r="H106" s="864">
        <v>6015</v>
      </c>
      <c r="I106" s="864">
        <f t="shared" si="6"/>
        <v>2454</v>
      </c>
      <c r="J106" s="864">
        <v>220</v>
      </c>
      <c r="K106" s="864">
        <v>2234</v>
      </c>
      <c r="L106" s="864">
        <v>8391</v>
      </c>
    </row>
    <row r="107" spans="1:12" x14ac:dyDescent="0.25">
      <c r="A107" s="443">
        <v>94</v>
      </c>
      <c r="B107" s="461" t="s">
        <v>201</v>
      </c>
      <c r="C107" s="462" t="s">
        <v>202</v>
      </c>
      <c r="D107" s="864">
        <f t="shared" si="4"/>
        <v>3637</v>
      </c>
      <c r="E107" s="864">
        <v>0</v>
      </c>
      <c r="F107" s="864">
        <f t="shared" si="5"/>
        <v>2976</v>
      </c>
      <c r="G107" s="864">
        <v>607</v>
      </c>
      <c r="H107" s="864">
        <v>2369</v>
      </c>
      <c r="I107" s="864">
        <f t="shared" si="6"/>
        <v>661</v>
      </c>
      <c r="J107" s="864">
        <v>160</v>
      </c>
      <c r="K107" s="864">
        <v>501</v>
      </c>
      <c r="L107" s="864">
        <v>4993</v>
      </c>
    </row>
    <row r="108" spans="1:12" x14ac:dyDescent="0.25">
      <c r="A108" s="443">
        <v>95</v>
      </c>
      <c r="B108" s="463" t="s">
        <v>203</v>
      </c>
      <c r="C108" s="69" t="s">
        <v>204</v>
      </c>
      <c r="D108" s="864">
        <f t="shared" si="4"/>
        <v>11149</v>
      </c>
      <c r="E108" s="864">
        <v>0</v>
      </c>
      <c r="F108" s="864">
        <f t="shared" si="5"/>
        <v>8311</v>
      </c>
      <c r="G108" s="864">
        <v>954</v>
      </c>
      <c r="H108" s="864">
        <v>7357</v>
      </c>
      <c r="I108" s="864">
        <f t="shared" si="6"/>
        <v>2838</v>
      </c>
      <c r="J108" s="864">
        <v>336</v>
      </c>
      <c r="K108" s="864">
        <v>2502</v>
      </c>
      <c r="L108" s="864">
        <v>7220</v>
      </c>
    </row>
    <row r="109" spans="1:12" x14ac:dyDescent="0.25">
      <c r="A109" s="443">
        <v>96</v>
      </c>
      <c r="B109" s="458" t="s">
        <v>205</v>
      </c>
      <c r="C109" s="459" t="s">
        <v>206</v>
      </c>
      <c r="D109" s="864">
        <f t="shared" si="4"/>
        <v>6982</v>
      </c>
      <c r="E109" s="864">
        <v>0</v>
      </c>
      <c r="F109" s="864">
        <f t="shared" si="5"/>
        <v>5696</v>
      </c>
      <c r="G109" s="864">
        <v>1356</v>
      </c>
      <c r="H109" s="864">
        <v>4340</v>
      </c>
      <c r="I109" s="864">
        <f t="shared" si="6"/>
        <v>1286</v>
      </c>
      <c r="J109" s="864">
        <v>164</v>
      </c>
      <c r="K109" s="864">
        <v>1122</v>
      </c>
      <c r="L109" s="864">
        <v>6929</v>
      </c>
    </row>
    <row r="110" spans="1:12" x14ac:dyDescent="0.25">
      <c r="A110" s="443">
        <v>97</v>
      </c>
      <c r="B110" s="460" t="s">
        <v>207</v>
      </c>
      <c r="C110" s="459" t="s">
        <v>208</v>
      </c>
      <c r="D110" s="864">
        <f t="shared" si="4"/>
        <v>7166</v>
      </c>
      <c r="E110" s="864">
        <v>0</v>
      </c>
      <c r="F110" s="864">
        <f t="shared" si="5"/>
        <v>4956</v>
      </c>
      <c r="G110" s="864">
        <v>1115</v>
      </c>
      <c r="H110" s="864">
        <v>3841</v>
      </c>
      <c r="I110" s="864">
        <f t="shared" si="6"/>
        <v>2210</v>
      </c>
      <c r="J110" s="864">
        <v>50</v>
      </c>
      <c r="K110" s="864">
        <v>2160</v>
      </c>
      <c r="L110" s="864">
        <v>6409</v>
      </c>
    </row>
    <row r="111" spans="1:12" x14ac:dyDescent="0.25">
      <c r="A111" s="443">
        <v>98</v>
      </c>
      <c r="B111" s="461" t="s">
        <v>209</v>
      </c>
      <c r="C111" s="462" t="s">
        <v>210</v>
      </c>
      <c r="D111" s="864">
        <f t="shared" si="4"/>
        <v>5488</v>
      </c>
      <c r="E111" s="864">
        <v>0</v>
      </c>
      <c r="F111" s="864">
        <f t="shared" si="5"/>
        <v>4537</v>
      </c>
      <c r="G111" s="864">
        <v>612</v>
      </c>
      <c r="H111" s="864">
        <v>3925</v>
      </c>
      <c r="I111" s="864">
        <f t="shared" si="6"/>
        <v>951</v>
      </c>
      <c r="J111" s="864">
        <v>16</v>
      </c>
      <c r="K111" s="864">
        <v>935</v>
      </c>
      <c r="L111" s="864">
        <v>4346</v>
      </c>
    </row>
    <row r="112" spans="1:12" x14ac:dyDescent="0.25">
      <c r="A112" s="443">
        <v>99</v>
      </c>
      <c r="B112" s="461" t="s">
        <v>211</v>
      </c>
      <c r="C112" s="462" t="s">
        <v>212</v>
      </c>
      <c r="D112" s="864">
        <f t="shared" si="4"/>
        <v>9878</v>
      </c>
      <c r="E112" s="864">
        <v>0</v>
      </c>
      <c r="F112" s="864">
        <f t="shared" si="5"/>
        <v>8227</v>
      </c>
      <c r="G112" s="864">
        <v>1472</v>
      </c>
      <c r="H112" s="864">
        <v>6755</v>
      </c>
      <c r="I112" s="864">
        <f t="shared" si="6"/>
        <v>1651</v>
      </c>
      <c r="J112" s="864">
        <v>0</v>
      </c>
      <c r="K112" s="864">
        <v>1651</v>
      </c>
      <c r="L112" s="864">
        <v>8378</v>
      </c>
    </row>
    <row r="113" spans="1:12" x14ac:dyDescent="0.25">
      <c r="A113" s="443">
        <v>100</v>
      </c>
      <c r="B113" s="458" t="s">
        <v>213</v>
      </c>
      <c r="C113" s="459" t="s">
        <v>214</v>
      </c>
      <c r="D113" s="864">
        <f t="shared" si="4"/>
        <v>18093</v>
      </c>
      <c r="E113" s="864">
        <v>0</v>
      </c>
      <c r="F113" s="864">
        <f t="shared" si="5"/>
        <v>11583</v>
      </c>
      <c r="G113" s="864">
        <v>1731</v>
      </c>
      <c r="H113" s="864">
        <v>9852</v>
      </c>
      <c r="I113" s="864">
        <f t="shared" si="6"/>
        <v>6510</v>
      </c>
      <c r="J113" s="864">
        <v>179</v>
      </c>
      <c r="K113" s="864">
        <v>6331</v>
      </c>
      <c r="L113" s="864">
        <v>12853</v>
      </c>
    </row>
    <row r="114" spans="1:12" x14ac:dyDescent="0.25">
      <c r="A114" s="443">
        <v>101</v>
      </c>
      <c r="B114" s="460" t="s">
        <v>215</v>
      </c>
      <c r="C114" s="459" t="s">
        <v>216</v>
      </c>
      <c r="D114" s="864">
        <f t="shared" si="4"/>
        <v>7195</v>
      </c>
      <c r="E114" s="864">
        <v>0</v>
      </c>
      <c r="F114" s="864">
        <f t="shared" si="5"/>
        <v>5301</v>
      </c>
      <c r="G114" s="864">
        <v>1439</v>
      </c>
      <c r="H114" s="864">
        <v>3862</v>
      </c>
      <c r="I114" s="864">
        <f t="shared" si="6"/>
        <v>1894</v>
      </c>
      <c r="J114" s="864">
        <v>186</v>
      </c>
      <c r="K114" s="864">
        <v>1708</v>
      </c>
      <c r="L114" s="864">
        <v>7049</v>
      </c>
    </row>
    <row r="115" spans="1:12" x14ac:dyDescent="0.25">
      <c r="A115" s="443">
        <v>102</v>
      </c>
      <c r="B115" s="458" t="s">
        <v>217</v>
      </c>
      <c r="C115" s="462" t="s">
        <v>218</v>
      </c>
      <c r="D115" s="864">
        <f t="shared" si="4"/>
        <v>28</v>
      </c>
      <c r="E115" s="864">
        <v>28</v>
      </c>
      <c r="F115" s="864">
        <f t="shared" si="5"/>
        <v>0</v>
      </c>
      <c r="G115" s="864">
        <v>0</v>
      </c>
      <c r="H115" s="864">
        <v>0</v>
      </c>
      <c r="I115" s="864">
        <f t="shared" si="6"/>
        <v>0</v>
      </c>
      <c r="J115" s="864">
        <v>0</v>
      </c>
      <c r="K115" s="864">
        <v>0</v>
      </c>
      <c r="L115" s="864">
        <v>0</v>
      </c>
    </row>
    <row r="116" spans="1:12" x14ac:dyDescent="0.25">
      <c r="A116" s="443">
        <v>103</v>
      </c>
      <c r="B116" s="458" t="s">
        <v>219</v>
      </c>
      <c r="C116" s="459" t="s">
        <v>220</v>
      </c>
      <c r="D116" s="864">
        <f t="shared" si="4"/>
        <v>0</v>
      </c>
      <c r="E116" s="864">
        <v>0</v>
      </c>
      <c r="F116" s="864">
        <f t="shared" si="5"/>
        <v>0</v>
      </c>
      <c r="G116" s="864">
        <v>0</v>
      </c>
      <c r="H116" s="864">
        <v>0</v>
      </c>
      <c r="I116" s="864">
        <f t="shared" si="6"/>
        <v>0</v>
      </c>
      <c r="J116" s="864">
        <v>0</v>
      </c>
      <c r="K116" s="864">
        <v>0</v>
      </c>
      <c r="L116" s="864">
        <v>0</v>
      </c>
    </row>
    <row r="117" spans="1:12" x14ac:dyDescent="0.25">
      <c r="A117" s="443">
        <v>104</v>
      </c>
      <c r="B117" s="461" t="s">
        <v>221</v>
      </c>
      <c r="C117" s="462" t="s">
        <v>222</v>
      </c>
      <c r="D117" s="864">
        <f t="shared" si="4"/>
        <v>0</v>
      </c>
      <c r="E117" s="864">
        <v>0</v>
      </c>
      <c r="F117" s="864">
        <f t="shared" si="5"/>
        <v>0</v>
      </c>
      <c r="G117" s="864">
        <v>0</v>
      </c>
      <c r="H117" s="864">
        <v>0</v>
      </c>
      <c r="I117" s="864">
        <f t="shared" si="6"/>
        <v>0</v>
      </c>
      <c r="J117" s="864">
        <v>0</v>
      </c>
      <c r="K117" s="864">
        <v>0</v>
      </c>
      <c r="L117" s="864">
        <v>0</v>
      </c>
    </row>
    <row r="118" spans="1:12" x14ac:dyDescent="0.25">
      <c r="A118" s="443">
        <v>105</v>
      </c>
      <c r="B118" s="461" t="s">
        <v>223</v>
      </c>
      <c r="C118" s="462" t="s">
        <v>224</v>
      </c>
      <c r="D118" s="864">
        <f t="shared" si="4"/>
        <v>0</v>
      </c>
      <c r="E118" s="864">
        <v>0</v>
      </c>
      <c r="F118" s="864">
        <f t="shared" si="5"/>
        <v>0</v>
      </c>
      <c r="G118" s="864">
        <v>0</v>
      </c>
      <c r="H118" s="864">
        <v>0</v>
      </c>
      <c r="I118" s="864">
        <f t="shared" si="6"/>
        <v>0</v>
      </c>
      <c r="J118" s="864">
        <v>0</v>
      </c>
      <c r="K118" s="864">
        <v>0</v>
      </c>
      <c r="L118" s="864">
        <v>0</v>
      </c>
    </row>
    <row r="119" spans="1:12" x14ac:dyDescent="0.25">
      <c r="A119" s="443">
        <v>106</v>
      </c>
      <c r="B119" s="461" t="s">
        <v>225</v>
      </c>
      <c r="C119" s="462" t="s">
        <v>226</v>
      </c>
      <c r="D119" s="864">
        <f t="shared" si="4"/>
        <v>0</v>
      </c>
      <c r="E119" s="864">
        <v>0</v>
      </c>
      <c r="F119" s="864">
        <f t="shared" si="5"/>
        <v>0</v>
      </c>
      <c r="G119" s="864">
        <v>0</v>
      </c>
      <c r="H119" s="864">
        <v>0</v>
      </c>
      <c r="I119" s="864">
        <f t="shared" si="6"/>
        <v>0</v>
      </c>
      <c r="J119" s="864">
        <v>0</v>
      </c>
      <c r="K119" s="864">
        <v>0</v>
      </c>
      <c r="L119" s="864">
        <v>0</v>
      </c>
    </row>
    <row r="120" spans="1:12" ht="24" x14ac:dyDescent="0.25">
      <c r="A120" s="443">
        <v>107</v>
      </c>
      <c r="B120" s="461" t="s">
        <v>227</v>
      </c>
      <c r="C120" s="462" t="s">
        <v>228</v>
      </c>
      <c r="D120" s="864">
        <f t="shared" si="4"/>
        <v>0</v>
      </c>
      <c r="E120" s="864">
        <v>0</v>
      </c>
      <c r="F120" s="864">
        <f t="shared" si="5"/>
        <v>0</v>
      </c>
      <c r="G120" s="864">
        <v>0</v>
      </c>
      <c r="H120" s="864">
        <v>0</v>
      </c>
      <c r="I120" s="864">
        <f t="shared" si="6"/>
        <v>0</v>
      </c>
      <c r="J120" s="864">
        <v>0</v>
      </c>
      <c r="K120" s="864">
        <v>0</v>
      </c>
      <c r="L120" s="864">
        <v>0</v>
      </c>
    </row>
    <row r="121" spans="1:12" x14ac:dyDescent="0.25">
      <c r="A121" s="443">
        <v>108</v>
      </c>
      <c r="B121" s="461" t="s">
        <v>229</v>
      </c>
      <c r="C121" s="462" t="s">
        <v>230</v>
      </c>
      <c r="D121" s="864">
        <f t="shared" si="4"/>
        <v>0</v>
      </c>
      <c r="E121" s="864">
        <v>0</v>
      </c>
      <c r="F121" s="864">
        <f t="shared" si="5"/>
        <v>0</v>
      </c>
      <c r="G121" s="864">
        <v>0</v>
      </c>
      <c r="H121" s="864">
        <v>0</v>
      </c>
      <c r="I121" s="864">
        <f t="shared" si="6"/>
        <v>0</v>
      </c>
      <c r="J121" s="864">
        <v>0</v>
      </c>
      <c r="K121" s="864">
        <v>0</v>
      </c>
      <c r="L121" s="864">
        <v>0</v>
      </c>
    </row>
    <row r="122" spans="1:12" x14ac:dyDescent="0.25">
      <c r="A122" s="443">
        <v>109</v>
      </c>
      <c r="B122" s="461" t="s">
        <v>231</v>
      </c>
      <c r="C122" s="462" t="s">
        <v>232</v>
      </c>
      <c r="D122" s="864">
        <f t="shared" si="4"/>
        <v>8</v>
      </c>
      <c r="E122" s="864">
        <v>8</v>
      </c>
      <c r="F122" s="864">
        <f t="shared" si="5"/>
        <v>0</v>
      </c>
      <c r="G122" s="864">
        <v>0</v>
      </c>
      <c r="H122" s="864">
        <v>0</v>
      </c>
      <c r="I122" s="864">
        <f t="shared" si="6"/>
        <v>0</v>
      </c>
      <c r="J122" s="864">
        <v>0</v>
      </c>
      <c r="K122" s="864">
        <v>0</v>
      </c>
      <c r="L122" s="864">
        <v>0</v>
      </c>
    </row>
    <row r="123" spans="1:12" x14ac:dyDescent="0.25">
      <c r="A123" s="443">
        <v>110</v>
      </c>
      <c r="B123" s="451" t="s">
        <v>233</v>
      </c>
      <c r="C123" s="452" t="s">
        <v>234</v>
      </c>
      <c r="D123" s="864">
        <f t="shared" si="4"/>
        <v>0</v>
      </c>
      <c r="E123" s="864">
        <v>0</v>
      </c>
      <c r="F123" s="864">
        <f t="shared" si="5"/>
        <v>0</v>
      </c>
      <c r="G123" s="864">
        <v>0</v>
      </c>
      <c r="H123" s="864">
        <v>0</v>
      </c>
      <c r="I123" s="864">
        <f t="shared" si="6"/>
        <v>0</v>
      </c>
      <c r="J123" s="864">
        <v>0</v>
      </c>
      <c r="K123" s="864">
        <v>0</v>
      </c>
      <c r="L123" s="864">
        <v>0</v>
      </c>
    </row>
    <row r="124" spans="1:12" x14ac:dyDescent="0.25">
      <c r="A124" s="443">
        <v>111</v>
      </c>
      <c r="B124" s="451" t="s">
        <v>235</v>
      </c>
      <c r="C124" s="452" t="s">
        <v>236</v>
      </c>
      <c r="D124" s="864">
        <f t="shared" si="4"/>
        <v>0</v>
      </c>
      <c r="E124" s="864">
        <v>0</v>
      </c>
      <c r="F124" s="864">
        <f t="shared" si="5"/>
        <v>0</v>
      </c>
      <c r="G124" s="864">
        <v>0</v>
      </c>
      <c r="H124" s="864">
        <v>0</v>
      </c>
      <c r="I124" s="864">
        <f t="shared" si="6"/>
        <v>0</v>
      </c>
      <c r="J124" s="864">
        <v>0</v>
      </c>
      <c r="K124" s="864">
        <v>0</v>
      </c>
      <c r="L124" s="864">
        <v>0</v>
      </c>
    </row>
    <row r="125" spans="1:12" x14ac:dyDescent="0.25">
      <c r="A125" s="443">
        <v>112</v>
      </c>
      <c r="B125" s="460" t="s">
        <v>237</v>
      </c>
      <c r="C125" s="459" t="s">
        <v>238</v>
      </c>
      <c r="D125" s="864">
        <f t="shared" si="4"/>
        <v>0</v>
      </c>
      <c r="E125" s="864">
        <v>0</v>
      </c>
      <c r="F125" s="864">
        <f t="shared" si="5"/>
        <v>0</v>
      </c>
      <c r="G125" s="864">
        <v>0</v>
      </c>
      <c r="H125" s="864">
        <v>0</v>
      </c>
      <c r="I125" s="864">
        <f t="shared" si="6"/>
        <v>0</v>
      </c>
      <c r="J125" s="864">
        <v>0</v>
      </c>
      <c r="K125" s="864">
        <v>0</v>
      </c>
      <c r="L125" s="864">
        <v>0</v>
      </c>
    </row>
    <row r="126" spans="1:12" x14ac:dyDescent="0.25">
      <c r="A126" s="443">
        <v>113</v>
      </c>
      <c r="B126" s="461" t="s">
        <v>239</v>
      </c>
      <c r="C126" s="462" t="s">
        <v>240</v>
      </c>
      <c r="D126" s="864">
        <f t="shared" si="4"/>
        <v>0</v>
      </c>
      <c r="E126" s="864">
        <v>0</v>
      </c>
      <c r="F126" s="864">
        <f t="shared" si="5"/>
        <v>0</v>
      </c>
      <c r="G126" s="864">
        <v>0</v>
      </c>
      <c r="H126" s="864">
        <v>0</v>
      </c>
      <c r="I126" s="864">
        <f t="shared" si="6"/>
        <v>0</v>
      </c>
      <c r="J126" s="864">
        <v>0</v>
      </c>
      <c r="K126" s="864">
        <v>0</v>
      </c>
      <c r="L126" s="864">
        <v>0</v>
      </c>
    </row>
    <row r="127" spans="1:12" ht="24" x14ac:dyDescent="0.25">
      <c r="A127" s="443">
        <v>114</v>
      </c>
      <c r="B127" s="458" t="s">
        <v>241</v>
      </c>
      <c r="C127" s="465" t="s">
        <v>242</v>
      </c>
      <c r="D127" s="864">
        <f t="shared" si="4"/>
        <v>0</v>
      </c>
      <c r="E127" s="864">
        <v>0</v>
      </c>
      <c r="F127" s="864">
        <f t="shared" si="5"/>
        <v>0</v>
      </c>
      <c r="G127" s="864">
        <v>0</v>
      </c>
      <c r="H127" s="864">
        <v>0</v>
      </c>
      <c r="I127" s="864">
        <f t="shared" si="6"/>
        <v>0</v>
      </c>
      <c r="J127" s="864">
        <v>0</v>
      </c>
      <c r="K127" s="864">
        <v>0</v>
      </c>
      <c r="L127" s="864">
        <v>0</v>
      </c>
    </row>
    <row r="128" spans="1:12" x14ac:dyDescent="0.25">
      <c r="A128" s="443">
        <v>115</v>
      </c>
      <c r="B128" s="461" t="s">
        <v>243</v>
      </c>
      <c r="C128" s="69" t="s">
        <v>385</v>
      </c>
      <c r="D128" s="864">
        <f t="shared" si="4"/>
        <v>0</v>
      </c>
      <c r="E128" s="864">
        <v>0</v>
      </c>
      <c r="F128" s="864">
        <f t="shared" si="5"/>
        <v>0</v>
      </c>
      <c r="G128" s="864">
        <v>0</v>
      </c>
      <c r="H128" s="864">
        <v>0</v>
      </c>
      <c r="I128" s="864">
        <f t="shared" si="6"/>
        <v>0</v>
      </c>
      <c r="J128" s="864">
        <v>0</v>
      </c>
      <c r="K128" s="864">
        <v>0</v>
      </c>
      <c r="L128" s="864">
        <v>0</v>
      </c>
    </row>
    <row r="129" spans="1:12" x14ac:dyDescent="0.25">
      <c r="A129" s="443">
        <v>116</v>
      </c>
      <c r="B129" s="460" t="s">
        <v>244</v>
      </c>
      <c r="C129" s="462" t="s">
        <v>245</v>
      </c>
      <c r="D129" s="864">
        <f t="shared" si="4"/>
        <v>0</v>
      </c>
      <c r="E129" s="864">
        <v>0</v>
      </c>
      <c r="F129" s="864">
        <f t="shared" si="5"/>
        <v>0</v>
      </c>
      <c r="G129" s="864">
        <v>0</v>
      </c>
      <c r="H129" s="864">
        <v>0</v>
      </c>
      <c r="I129" s="864">
        <f t="shared" si="6"/>
        <v>0</v>
      </c>
      <c r="J129" s="864">
        <v>0</v>
      </c>
      <c r="K129" s="864">
        <v>0</v>
      </c>
      <c r="L129" s="864">
        <v>0</v>
      </c>
    </row>
    <row r="130" spans="1:12" x14ac:dyDescent="0.25">
      <c r="A130" s="443">
        <v>117</v>
      </c>
      <c r="B130" s="460" t="s">
        <v>246</v>
      </c>
      <c r="C130" s="462" t="s">
        <v>247</v>
      </c>
      <c r="D130" s="864">
        <f t="shared" si="4"/>
        <v>0</v>
      </c>
      <c r="E130" s="864">
        <v>0</v>
      </c>
      <c r="F130" s="864">
        <f t="shared" si="5"/>
        <v>0</v>
      </c>
      <c r="G130" s="864">
        <v>0</v>
      </c>
      <c r="H130" s="864">
        <v>0</v>
      </c>
      <c r="I130" s="864">
        <f t="shared" si="6"/>
        <v>0</v>
      </c>
      <c r="J130" s="864">
        <v>0</v>
      </c>
      <c r="K130" s="864">
        <v>0</v>
      </c>
      <c r="L130" s="864">
        <v>0</v>
      </c>
    </row>
    <row r="131" spans="1:12" x14ac:dyDescent="0.25">
      <c r="A131" s="443">
        <v>118</v>
      </c>
      <c r="B131" s="460" t="s">
        <v>248</v>
      </c>
      <c r="C131" s="462" t="s">
        <v>249</v>
      </c>
      <c r="D131" s="864">
        <f t="shared" si="4"/>
        <v>0</v>
      </c>
      <c r="E131" s="864">
        <v>0</v>
      </c>
      <c r="F131" s="864">
        <f t="shared" si="5"/>
        <v>0</v>
      </c>
      <c r="G131" s="864">
        <v>0</v>
      </c>
      <c r="H131" s="864">
        <v>0</v>
      </c>
      <c r="I131" s="864">
        <f t="shared" si="6"/>
        <v>0</v>
      </c>
      <c r="J131" s="864">
        <v>0</v>
      </c>
      <c r="K131" s="864">
        <v>0</v>
      </c>
      <c r="L131" s="864">
        <v>0</v>
      </c>
    </row>
    <row r="132" spans="1:12" x14ac:dyDescent="0.25">
      <c r="A132" s="443">
        <v>119</v>
      </c>
      <c r="B132" s="458" t="s">
        <v>250</v>
      </c>
      <c r="C132" s="459" t="s">
        <v>251</v>
      </c>
      <c r="D132" s="864">
        <f t="shared" si="4"/>
        <v>8</v>
      </c>
      <c r="E132" s="864">
        <v>8</v>
      </c>
      <c r="F132" s="864">
        <f t="shared" si="5"/>
        <v>0</v>
      </c>
      <c r="G132" s="864">
        <v>0</v>
      </c>
      <c r="H132" s="864">
        <v>0</v>
      </c>
      <c r="I132" s="864">
        <f t="shared" si="6"/>
        <v>0</v>
      </c>
      <c r="J132" s="864">
        <v>0</v>
      </c>
      <c r="K132" s="864">
        <v>0</v>
      </c>
      <c r="L132" s="864">
        <v>0</v>
      </c>
    </row>
    <row r="133" spans="1:12" x14ac:dyDescent="0.25">
      <c r="A133" s="443">
        <v>120</v>
      </c>
      <c r="B133" s="460" t="s">
        <v>252</v>
      </c>
      <c r="C133" s="459" t="s">
        <v>253</v>
      </c>
      <c r="D133" s="864">
        <f t="shared" si="4"/>
        <v>0</v>
      </c>
      <c r="E133" s="864">
        <v>0</v>
      </c>
      <c r="F133" s="864">
        <f t="shared" si="5"/>
        <v>0</v>
      </c>
      <c r="G133" s="864">
        <v>0</v>
      </c>
      <c r="H133" s="864">
        <v>0</v>
      </c>
      <c r="I133" s="864">
        <f t="shared" si="6"/>
        <v>0</v>
      </c>
      <c r="J133" s="864">
        <v>0</v>
      </c>
      <c r="K133" s="864">
        <v>0</v>
      </c>
      <c r="L133" s="864">
        <v>0</v>
      </c>
    </row>
    <row r="134" spans="1:12" x14ac:dyDescent="0.25">
      <c r="A134" s="443">
        <v>121</v>
      </c>
      <c r="B134" s="461" t="s">
        <v>254</v>
      </c>
      <c r="C134" s="462" t="s">
        <v>255</v>
      </c>
      <c r="D134" s="864">
        <f t="shared" si="4"/>
        <v>12</v>
      </c>
      <c r="E134" s="864">
        <v>12</v>
      </c>
      <c r="F134" s="864">
        <f t="shared" si="5"/>
        <v>0</v>
      </c>
      <c r="G134" s="864">
        <v>0</v>
      </c>
      <c r="H134" s="864">
        <v>0</v>
      </c>
      <c r="I134" s="864">
        <f t="shared" si="6"/>
        <v>0</v>
      </c>
      <c r="J134" s="864">
        <v>0</v>
      </c>
      <c r="K134" s="864">
        <v>0</v>
      </c>
      <c r="L134" s="864">
        <v>0</v>
      </c>
    </row>
    <row r="135" spans="1:12" x14ac:dyDescent="0.25">
      <c r="A135" s="443">
        <v>122</v>
      </c>
      <c r="B135" s="461" t="s">
        <v>256</v>
      </c>
      <c r="C135" s="462" t="s">
        <v>257</v>
      </c>
      <c r="D135" s="864">
        <f t="shared" si="4"/>
        <v>0</v>
      </c>
      <c r="E135" s="864">
        <v>0</v>
      </c>
      <c r="F135" s="864">
        <f t="shared" si="5"/>
        <v>0</v>
      </c>
      <c r="G135" s="864">
        <v>0</v>
      </c>
      <c r="H135" s="864">
        <v>0</v>
      </c>
      <c r="I135" s="864">
        <f t="shared" si="6"/>
        <v>0</v>
      </c>
      <c r="J135" s="864">
        <v>0</v>
      </c>
      <c r="K135" s="864">
        <v>0</v>
      </c>
      <c r="L135" s="864">
        <v>0</v>
      </c>
    </row>
    <row r="136" spans="1:12" x14ac:dyDescent="0.25">
      <c r="A136" s="443">
        <v>123</v>
      </c>
      <c r="B136" s="461" t="s">
        <v>258</v>
      </c>
      <c r="C136" s="462" t="s">
        <v>259</v>
      </c>
      <c r="D136" s="864">
        <f t="shared" si="4"/>
        <v>0</v>
      </c>
      <c r="E136" s="864">
        <v>0</v>
      </c>
      <c r="F136" s="864">
        <f t="shared" si="5"/>
        <v>0</v>
      </c>
      <c r="G136" s="864">
        <v>0</v>
      </c>
      <c r="H136" s="864">
        <v>0</v>
      </c>
      <c r="I136" s="864">
        <f t="shared" si="6"/>
        <v>0</v>
      </c>
      <c r="J136" s="864">
        <v>0</v>
      </c>
      <c r="K136" s="864">
        <v>0</v>
      </c>
      <c r="L136" s="864">
        <v>0</v>
      </c>
    </row>
    <row r="137" spans="1:12" x14ac:dyDescent="0.25">
      <c r="A137" s="443">
        <v>124</v>
      </c>
      <c r="B137" s="461" t="s">
        <v>260</v>
      </c>
      <c r="C137" s="462" t="s">
        <v>261</v>
      </c>
      <c r="D137" s="864">
        <f t="shared" si="4"/>
        <v>0</v>
      </c>
      <c r="E137" s="864">
        <v>0</v>
      </c>
      <c r="F137" s="864">
        <f t="shared" si="5"/>
        <v>0</v>
      </c>
      <c r="G137" s="864">
        <v>0</v>
      </c>
      <c r="H137" s="864">
        <v>0</v>
      </c>
      <c r="I137" s="864">
        <f t="shared" si="6"/>
        <v>0</v>
      </c>
      <c r="J137" s="864">
        <v>0</v>
      </c>
      <c r="K137" s="864">
        <v>0</v>
      </c>
      <c r="L137" s="864">
        <v>0</v>
      </c>
    </row>
    <row r="138" spans="1:12" x14ac:dyDescent="0.25">
      <c r="A138" s="443">
        <v>125</v>
      </c>
      <c r="B138" s="461" t="s">
        <v>262</v>
      </c>
      <c r="C138" s="462" t="s">
        <v>263</v>
      </c>
      <c r="D138" s="864">
        <f t="shared" si="4"/>
        <v>0</v>
      </c>
      <c r="E138" s="864">
        <v>0</v>
      </c>
      <c r="F138" s="864">
        <f t="shared" si="5"/>
        <v>0</v>
      </c>
      <c r="G138" s="864">
        <v>0</v>
      </c>
      <c r="H138" s="864">
        <v>0</v>
      </c>
      <c r="I138" s="864">
        <f t="shared" si="6"/>
        <v>0</v>
      </c>
      <c r="J138" s="864">
        <v>0</v>
      </c>
      <c r="K138" s="864">
        <v>0</v>
      </c>
      <c r="L138" s="864">
        <v>0</v>
      </c>
    </row>
    <row r="139" spans="1:12" x14ac:dyDescent="0.25">
      <c r="A139" s="443">
        <v>126</v>
      </c>
      <c r="B139" s="458" t="s">
        <v>264</v>
      </c>
      <c r="C139" s="459" t="s">
        <v>265</v>
      </c>
      <c r="D139" s="864">
        <f t="shared" si="4"/>
        <v>0</v>
      </c>
      <c r="E139" s="864">
        <v>0</v>
      </c>
      <c r="F139" s="864">
        <f t="shared" si="5"/>
        <v>0</v>
      </c>
      <c r="G139" s="864">
        <v>0</v>
      </c>
      <c r="H139" s="864">
        <v>0</v>
      </c>
      <c r="I139" s="864">
        <f t="shared" si="6"/>
        <v>0</v>
      </c>
      <c r="J139" s="864">
        <v>0</v>
      </c>
      <c r="K139" s="864">
        <v>0</v>
      </c>
      <c r="L139" s="864">
        <v>0</v>
      </c>
    </row>
    <row r="140" spans="1:12" x14ac:dyDescent="0.25">
      <c r="A140" s="443">
        <v>127</v>
      </c>
      <c r="B140" s="458" t="s">
        <v>266</v>
      </c>
      <c r="C140" s="462" t="s">
        <v>267</v>
      </c>
      <c r="D140" s="864">
        <f t="shared" ref="D140:D153" si="7">E140+F140+I140</f>
        <v>0</v>
      </c>
      <c r="E140" s="864">
        <v>0</v>
      </c>
      <c r="F140" s="864">
        <f t="shared" ref="F140:F153" si="8">G140+H140</f>
        <v>0</v>
      </c>
      <c r="G140" s="864">
        <v>0</v>
      </c>
      <c r="H140" s="864">
        <v>0</v>
      </c>
      <c r="I140" s="864">
        <f t="shared" ref="I140:I153" si="9">J140+K140</f>
        <v>0</v>
      </c>
      <c r="J140" s="864">
        <v>0</v>
      </c>
      <c r="K140" s="864">
        <v>0</v>
      </c>
      <c r="L140" s="864">
        <v>0</v>
      </c>
    </row>
    <row r="141" spans="1:12" x14ac:dyDescent="0.25">
      <c r="A141" s="443">
        <v>128</v>
      </c>
      <c r="B141" s="463" t="s">
        <v>268</v>
      </c>
      <c r="C141" s="69" t="s">
        <v>269</v>
      </c>
      <c r="D141" s="864">
        <f t="shared" si="7"/>
        <v>0</v>
      </c>
      <c r="E141" s="864">
        <v>0</v>
      </c>
      <c r="F141" s="864">
        <f t="shared" si="8"/>
        <v>0</v>
      </c>
      <c r="G141" s="864">
        <v>0</v>
      </c>
      <c r="H141" s="864">
        <v>0</v>
      </c>
      <c r="I141" s="864">
        <f t="shared" si="9"/>
        <v>0</v>
      </c>
      <c r="J141" s="864">
        <v>0</v>
      </c>
      <c r="K141" s="864">
        <v>0</v>
      </c>
      <c r="L141" s="864">
        <v>0</v>
      </c>
    </row>
    <row r="142" spans="1:12" x14ac:dyDescent="0.25">
      <c r="A142" s="443">
        <v>129</v>
      </c>
      <c r="B142" s="461" t="s">
        <v>270</v>
      </c>
      <c r="C142" s="462" t="s">
        <v>271</v>
      </c>
      <c r="D142" s="864">
        <f t="shared" si="7"/>
        <v>0</v>
      </c>
      <c r="E142" s="864">
        <v>0</v>
      </c>
      <c r="F142" s="864">
        <f t="shared" si="8"/>
        <v>0</v>
      </c>
      <c r="G142" s="864">
        <v>0</v>
      </c>
      <c r="H142" s="864">
        <v>0</v>
      </c>
      <c r="I142" s="864">
        <f t="shared" si="9"/>
        <v>0</v>
      </c>
      <c r="J142" s="864">
        <v>0</v>
      </c>
      <c r="K142" s="864">
        <v>0</v>
      </c>
      <c r="L142" s="864">
        <v>0</v>
      </c>
    </row>
    <row r="143" spans="1:12" x14ac:dyDescent="0.25">
      <c r="A143" s="443">
        <v>130</v>
      </c>
      <c r="B143" s="461" t="s">
        <v>272</v>
      </c>
      <c r="C143" s="462" t="s">
        <v>273</v>
      </c>
      <c r="D143" s="864">
        <f t="shared" si="7"/>
        <v>0</v>
      </c>
      <c r="E143" s="864">
        <v>0</v>
      </c>
      <c r="F143" s="864">
        <f t="shared" si="8"/>
        <v>0</v>
      </c>
      <c r="G143" s="864">
        <v>0</v>
      </c>
      <c r="H143" s="864">
        <v>0</v>
      </c>
      <c r="I143" s="864">
        <f t="shared" si="9"/>
        <v>0</v>
      </c>
      <c r="J143" s="864">
        <v>0</v>
      </c>
      <c r="K143" s="864">
        <v>0</v>
      </c>
      <c r="L143" s="864">
        <v>0</v>
      </c>
    </row>
    <row r="144" spans="1:12" x14ac:dyDescent="0.25">
      <c r="A144" s="443">
        <v>131</v>
      </c>
      <c r="B144" s="461" t="s">
        <v>274</v>
      </c>
      <c r="C144" s="462" t="s">
        <v>275</v>
      </c>
      <c r="D144" s="864">
        <f t="shared" si="7"/>
        <v>0</v>
      </c>
      <c r="E144" s="864">
        <v>0</v>
      </c>
      <c r="F144" s="864">
        <f t="shared" si="8"/>
        <v>0</v>
      </c>
      <c r="G144" s="864">
        <v>0</v>
      </c>
      <c r="H144" s="864">
        <v>0</v>
      </c>
      <c r="I144" s="864">
        <f t="shared" si="9"/>
        <v>0</v>
      </c>
      <c r="J144" s="864">
        <v>0</v>
      </c>
      <c r="K144" s="864">
        <v>0</v>
      </c>
      <c r="L144" s="864">
        <v>0</v>
      </c>
    </row>
    <row r="145" spans="1:12" x14ac:dyDescent="0.25">
      <c r="A145" s="443">
        <v>132</v>
      </c>
      <c r="B145" s="463" t="s">
        <v>276</v>
      </c>
      <c r="C145" s="69" t="s">
        <v>277</v>
      </c>
      <c r="D145" s="864">
        <f t="shared" si="7"/>
        <v>25255</v>
      </c>
      <c r="E145" s="864">
        <v>0</v>
      </c>
      <c r="F145" s="864">
        <f t="shared" si="8"/>
        <v>25255</v>
      </c>
      <c r="G145" s="864">
        <v>2924</v>
      </c>
      <c r="H145" s="864">
        <v>22331</v>
      </c>
      <c r="I145" s="864">
        <f t="shared" si="9"/>
        <v>0</v>
      </c>
      <c r="J145" s="864">
        <v>0</v>
      </c>
      <c r="K145" s="864">
        <v>0</v>
      </c>
      <c r="L145" s="864">
        <v>20130</v>
      </c>
    </row>
    <row r="146" spans="1:12" x14ac:dyDescent="0.25">
      <c r="A146" s="443">
        <v>133</v>
      </c>
      <c r="B146" s="460" t="s">
        <v>278</v>
      </c>
      <c r="C146" s="69" t="s">
        <v>279</v>
      </c>
      <c r="D146" s="864">
        <f t="shared" si="7"/>
        <v>40291</v>
      </c>
      <c r="E146" s="864">
        <v>0</v>
      </c>
      <c r="F146" s="864">
        <f t="shared" si="8"/>
        <v>34132</v>
      </c>
      <c r="G146" s="864">
        <v>7855</v>
      </c>
      <c r="H146" s="864">
        <v>26277</v>
      </c>
      <c r="I146" s="864">
        <f t="shared" si="9"/>
        <v>6159</v>
      </c>
      <c r="J146" s="864">
        <v>967</v>
      </c>
      <c r="K146" s="864">
        <v>5192</v>
      </c>
      <c r="L146" s="864">
        <v>26910</v>
      </c>
    </row>
    <row r="147" spans="1:12" x14ac:dyDescent="0.25">
      <c r="A147" s="443">
        <v>134</v>
      </c>
      <c r="B147" s="461" t="s">
        <v>280</v>
      </c>
      <c r="C147" s="462" t="s">
        <v>281</v>
      </c>
      <c r="D147" s="864">
        <f t="shared" si="7"/>
        <v>0</v>
      </c>
      <c r="E147" s="864">
        <v>0</v>
      </c>
      <c r="F147" s="864">
        <f t="shared" si="8"/>
        <v>0</v>
      </c>
      <c r="G147" s="864">
        <v>0</v>
      </c>
      <c r="H147" s="864">
        <v>0</v>
      </c>
      <c r="I147" s="864">
        <f t="shared" si="9"/>
        <v>0</v>
      </c>
      <c r="J147" s="864">
        <v>0</v>
      </c>
      <c r="K147" s="864">
        <v>0</v>
      </c>
      <c r="L147" s="864">
        <v>0</v>
      </c>
    </row>
    <row r="148" spans="1:12" x14ac:dyDescent="0.25">
      <c r="A148" s="443">
        <v>135</v>
      </c>
      <c r="B148" s="458" t="s">
        <v>282</v>
      </c>
      <c r="C148" s="459" t="s">
        <v>283</v>
      </c>
      <c r="D148" s="864">
        <f t="shared" si="7"/>
        <v>0</v>
      </c>
      <c r="E148" s="864">
        <v>0</v>
      </c>
      <c r="F148" s="864">
        <f t="shared" si="8"/>
        <v>0</v>
      </c>
      <c r="G148" s="864">
        <v>0</v>
      </c>
      <c r="H148" s="864">
        <v>0</v>
      </c>
      <c r="I148" s="864">
        <f t="shared" si="9"/>
        <v>0</v>
      </c>
      <c r="J148" s="864">
        <v>0</v>
      </c>
      <c r="K148" s="864">
        <v>0</v>
      </c>
      <c r="L148" s="864">
        <v>0</v>
      </c>
    </row>
    <row r="149" spans="1:12" x14ac:dyDescent="0.25">
      <c r="A149" s="443">
        <v>136</v>
      </c>
      <c r="B149" s="466" t="s">
        <v>284</v>
      </c>
      <c r="C149" s="467" t="s">
        <v>285</v>
      </c>
      <c r="D149" s="864">
        <f t="shared" si="7"/>
        <v>0</v>
      </c>
      <c r="E149" s="864">
        <v>0</v>
      </c>
      <c r="F149" s="864">
        <f t="shared" si="8"/>
        <v>0</v>
      </c>
      <c r="G149" s="864">
        <v>0</v>
      </c>
      <c r="H149" s="864">
        <v>0</v>
      </c>
      <c r="I149" s="864">
        <f t="shared" si="9"/>
        <v>0</v>
      </c>
      <c r="J149" s="864">
        <v>0</v>
      </c>
      <c r="K149" s="864">
        <v>0</v>
      </c>
      <c r="L149" s="864">
        <v>0</v>
      </c>
    </row>
    <row r="150" spans="1:12" x14ac:dyDescent="0.25">
      <c r="A150" s="443">
        <v>137</v>
      </c>
      <c r="B150" s="77" t="s">
        <v>387</v>
      </c>
      <c r="C150" s="454" t="s">
        <v>388</v>
      </c>
      <c r="D150" s="864">
        <f t="shared" si="7"/>
        <v>0</v>
      </c>
      <c r="E150" s="864">
        <v>0</v>
      </c>
      <c r="F150" s="864">
        <f t="shared" si="8"/>
        <v>0</v>
      </c>
      <c r="G150" s="864">
        <v>0</v>
      </c>
      <c r="H150" s="864">
        <v>0</v>
      </c>
      <c r="I150" s="864">
        <f t="shared" si="9"/>
        <v>0</v>
      </c>
      <c r="J150" s="864">
        <v>0</v>
      </c>
      <c r="K150" s="864">
        <v>0</v>
      </c>
      <c r="L150" s="864">
        <v>0</v>
      </c>
    </row>
    <row r="151" spans="1:12" x14ac:dyDescent="0.25">
      <c r="A151" s="443">
        <v>138</v>
      </c>
      <c r="B151" s="78" t="s">
        <v>389</v>
      </c>
      <c r="C151" s="455" t="s">
        <v>390</v>
      </c>
      <c r="D151" s="864">
        <f t="shared" si="7"/>
        <v>0</v>
      </c>
      <c r="E151" s="864">
        <v>0</v>
      </c>
      <c r="F151" s="864">
        <f t="shared" si="8"/>
        <v>0</v>
      </c>
      <c r="G151" s="864">
        <v>0</v>
      </c>
      <c r="H151" s="864">
        <v>0</v>
      </c>
      <c r="I151" s="864">
        <f t="shared" si="9"/>
        <v>0</v>
      </c>
      <c r="J151" s="864">
        <v>0</v>
      </c>
      <c r="K151" s="864">
        <v>0</v>
      </c>
      <c r="L151" s="864">
        <v>0</v>
      </c>
    </row>
    <row r="152" spans="1:12" x14ac:dyDescent="0.25">
      <c r="A152" s="443">
        <v>139</v>
      </c>
      <c r="B152" s="79" t="s">
        <v>391</v>
      </c>
      <c r="C152" s="456" t="s">
        <v>392</v>
      </c>
      <c r="D152" s="864">
        <f t="shared" si="7"/>
        <v>0</v>
      </c>
      <c r="E152" s="864">
        <v>0</v>
      </c>
      <c r="F152" s="864">
        <f t="shared" si="8"/>
        <v>0</v>
      </c>
      <c r="G152" s="864">
        <v>0</v>
      </c>
      <c r="H152" s="864">
        <v>0</v>
      </c>
      <c r="I152" s="864">
        <f t="shared" si="9"/>
        <v>0</v>
      </c>
      <c r="J152" s="864">
        <v>0</v>
      </c>
      <c r="K152" s="864">
        <v>0</v>
      </c>
      <c r="L152" s="864">
        <v>0</v>
      </c>
    </row>
    <row r="153" spans="1:12" x14ac:dyDescent="0.25">
      <c r="A153" s="443">
        <v>140</v>
      </c>
      <c r="B153" s="443" t="s">
        <v>393</v>
      </c>
      <c r="C153" s="457" t="s">
        <v>394</v>
      </c>
      <c r="D153" s="864">
        <f t="shared" si="7"/>
        <v>0</v>
      </c>
      <c r="E153" s="864">
        <v>0</v>
      </c>
      <c r="F153" s="864">
        <f t="shared" si="8"/>
        <v>0</v>
      </c>
      <c r="G153" s="864">
        <v>0</v>
      </c>
      <c r="H153" s="864">
        <v>0</v>
      </c>
      <c r="I153" s="864">
        <f t="shared" si="9"/>
        <v>0</v>
      </c>
      <c r="J153" s="864">
        <v>0</v>
      </c>
      <c r="K153" s="864">
        <v>0</v>
      </c>
      <c r="L153" s="864">
        <v>0</v>
      </c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S153"/>
  <sheetViews>
    <sheetView topLeftCell="A4" workbookViewId="0">
      <pane xSplit="4" ySplit="8" topLeftCell="E142" activePane="bottomRight" state="frozen"/>
      <selection activeCell="A4" sqref="A4"/>
      <selection pane="topRight" activeCell="E4" sqref="E4"/>
      <selection pane="bottomLeft" activeCell="A11" sqref="A11"/>
      <selection pane="bottomRight" activeCell="H22" sqref="H22"/>
    </sheetView>
  </sheetViews>
  <sheetFormatPr defaultRowHeight="15" x14ac:dyDescent="0.25"/>
  <cols>
    <col min="1" max="1" width="4.7109375" style="67" customWidth="1"/>
    <col min="2" max="2" width="9.28515625" style="67" customWidth="1"/>
    <col min="3" max="3" width="30.140625" style="68" customWidth="1"/>
    <col min="4" max="4" width="15.5703125" style="46" customWidth="1"/>
    <col min="5" max="5" width="10.28515625" style="46" customWidth="1"/>
    <col min="6" max="6" width="10.140625" style="46" customWidth="1"/>
    <col min="7" max="7" width="11.7109375" style="46" customWidth="1"/>
    <col min="8" max="8" width="11.5703125" style="46" customWidth="1"/>
    <col min="9" max="9" width="12.140625" style="46" customWidth="1"/>
    <col min="10" max="10" width="12" style="46" customWidth="1"/>
    <col min="11" max="11" width="11" style="46" customWidth="1"/>
    <col min="12" max="12" width="10.85546875" style="46" customWidth="1"/>
    <col min="13" max="13" width="10.7109375" style="46" customWidth="1"/>
    <col min="14" max="14" width="11.7109375" style="46" customWidth="1"/>
    <col min="15" max="15" width="11.42578125" style="46" customWidth="1"/>
    <col min="16" max="16" width="11.7109375" style="46" customWidth="1"/>
    <col min="17" max="17" width="11" style="46" customWidth="1"/>
    <col min="18" max="18" width="11.85546875" style="46" customWidth="1"/>
    <col min="19" max="19" width="12.140625" style="46" customWidth="1"/>
    <col min="20" max="20" width="35.140625" style="46" customWidth="1"/>
    <col min="21" max="16384" width="9.140625" style="46"/>
  </cols>
  <sheetData>
    <row r="2" spans="1:19" ht="24" customHeight="1" x14ac:dyDescent="0.25">
      <c r="A2" s="46"/>
      <c r="B2" s="46"/>
      <c r="C2" s="46"/>
    </row>
    <row r="3" spans="1:19" ht="15" customHeight="1" x14ac:dyDescent="0.25">
      <c r="A3" s="46"/>
      <c r="B3" s="46"/>
      <c r="C3" s="46"/>
    </row>
    <row r="4" spans="1:19" ht="24.75" customHeight="1" x14ac:dyDescent="0.3">
      <c r="A4" s="1075" t="s">
        <v>360</v>
      </c>
      <c r="B4" s="1075"/>
      <c r="C4" s="1075"/>
      <c r="D4" s="1075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</row>
    <row r="5" spans="1:19" ht="15" customHeight="1" x14ac:dyDescent="0.25">
      <c r="A5" s="46"/>
      <c r="B5" s="46"/>
      <c r="C5" s="46"/>
    </row>
    <row r="6" spans="1:19" ht="15" customHeight="1" x14ac:dyDescent="0.25">
      <c r="A6" s="1076" t="s">
        <v>0</v>
      </c>
      <c r="B6" s="1076" t="s">
        <v>302</v>
      </c>
      <c r="C6" s="1076" t="s">
        <v>292</v>
      </c>
      <c r="D6" s="1079" t="s">
        <v>361</v>
      </c>
      <c r="E6" s="1082" t="s">
        <v>362</v>
      </c>
      <c r="F6" s="1082"/>
      <c r="G6" s="1082"/>
      <c r="H6" s="1082"/>
      <c r="I6" s="1082"/>
      <c r="J6" s="1082"/>
      <c r="K6" s="1082"/>
      <c r="L6" s="1082"/>
      <c r="M6" s="1082"/>
      <c r="N6" s="1082"/>
      <c r="O6" s="1082"/>
      <c r="P6" s="1082"/>
      <c r="Q6" s="1082"/>
      <c r="R6" s="1082"/>
    </row>
    <row r="7" spans="1:19" x14ac:dyDescent="0.25">
      <c r="A7" s="1077"/>
      <c r="B7" s="1077"/>
      <c r="C7" s="1077"/>
      <c r="D7" s="1080"/>
      <c r="E7" s="1082"/>
      <c r="F7" s="1082"/>
      <c r="G7" s="1082"/>
      <c r="H7" s="1082"/>
      <c r="I7" s="1082"/>
      <c r="J7" s="1082"/>
      <c r="K7" s="1082"/>
      <c r="L7" s="1082"/>
      <c r="M7" s="1082"/>
      <c r="N7" s="1082"/>
      <c r="O7" s="1082"/>
      <c r="P7" s="1082"/>
      <c r="Q7" s="1082"/>
      <c r="R7" s="1082"/>
    </row>
    <row r="8" spans="1:19" ht="15" customHeight="1" x14ac:dyDescent="0.25">
      <c r="A8" s="1077"/>
      <c r="B8" s="1077"/>
      <c r="C8" s="1077"/>
      <c r="D8" s="1080"/>
      <c r="E8" s="1083" t="s">
        <v>363</v>
      </c>
      <c r="F8" s="1083" t="s">
        <v>364</v>
      </c>
      <c r="G8" s="1083" t="s">
        <v>365</v>
      </c>
      <c r="H8" s="1083" t="s">
        <v>366</v>
      </c>
      <c r="I8" s="1083" t="s">
        <v>367</v>
      </c>
      <c r="J8" s="1083" t="s">
        <v>368</v>
      </c>
      <c r="K8" s="1083" t="s">
        <v>369</v>
      </c>
      <c r="L8" s="1083" t="s">
        <v>370</v>
      </c>
      <c r="M8" s="1083" t="s">
        <v>371</v>
      </c>
      <c r="N8" s="1083" t="s">
        <v>372</v>
      </c>
      <c r="O8" s="1083" t="s">
        <v>373</v>
      </c>
      <c r="P8" s="1083" t="s">
        <v>374</v>
      </c>
      <c r="Q8" s="1083" t="s">
        <v>375</v>
      </c>
      <c r="R8" s="1082" t="s">
        <v>376</v>
      </c>
    </row>
    <row r="9" spans="1:19" ht="27" customHeight="1" x14ac:dyDescent="0.25">
      <c r="A9" s="1078"/>
      <c r="B9" s="1078"/>
      <c r="C9" s="1078"/>
      <c r="D9" s="1081"/>
      <c r="E9" s="1084"/>
      <c r="F9" s="1084"/>
      <c r="G9" s="1084"/>
      <c r="H9" s="1084"/>
      <c r="I9" s="1084"/>
      <c r="J9" s="1084"/>
      <c r="K9" s="1084"/>
      <c r="L9" s="1084"/>
      <c r="M9" s="1084"/>
      <c r="N9" s="1084"/>
      <c r="O9" s="1084"/>
      <c r="P9" s="1084"/>
      <c r="Q9" s="1084"/>
      <c r="R9" s="1082"/>
    </row>
    <row r="10" spans="1:19" s="50" customFormat="1" ht="11.25" customHeight="1" x14ac:dyDescent="0.2">
      <c r="A10" s="47">
        <v>1</v>
      </c>
      <c r="B10" s="47">
        <v>2</v>
      </c>
      <c r="C10" s="47">
        <v>3</v>
      </c>
      <c r="D10" s="48">
        <v>4</v>
      </c>
      <c r="E10" s="49">
        <v>5</v>
      </c>
      <c r="F10" s="49">
        <v>6</v>
      </c>
      <c r="G10" s="49">
        <v>7</v>
      </c>
      <c r="H10" s="49">
        <v>8</v>
      </c>
      <c r="I10" s="49">
        <v>9</v>
      </c>
      <c r="J10" s="49">
        <v>10</v>
      </c>
      <c r="K10" s="49">
        <v>11</v>
      </c>
      <c r="L10" s="49">
        <v>12</v>
      </c>
      <c r="M10" s="49">
        <v>13</v>
      </c>
      <c r="N10" s="49">
        <v>14</v>
      </c>
      <c r="O10" s="49">
        <v>15</v>
      </c>
      <c r="P10" s="49">
        <v>16</v>
      </c>
      <c r="Q10" s="49">
        <v>17</v>
      </c>
      <c r="R10" s="49">
        <v>18</v>
      </c>
    </row>
    <row r="11" spans="1:19" ht="24.75" customHeight="1" x14ac:dyDescent="0.25">
      <c r="A11" s="1091" t="s">
        <v>308</v>
      </c>
      <c r="B11" s="1092"/>
      <c r="C11" s="1093"/>
      <c r="D11" s="51">
        <f t="shared" ref="D11:R11" si="0">SUM(D12:D149)</f>
        <v>1025004</v>
      </c>
      <c r="E11" s="51">
        <f t="shared" si="0"/>
        <v>922453</v>
      </c>
      <c r="F11" s="51">
        <f t="shared" si="0"/>
        <v>66142</v>
      </c>
      <c r="G11" s="51">
        <f t="shared" si="0"/>
        <v>18439</v>
      </c>
      <c r="H11" s="51">
        <f t="shared" si="0"/>
        <v>7497</v>
      </c>
      <c r="I11" s="51">
        <f t="shared" si="0"/>
        <v>3</v>
      </c>
      <c r="J11" s="51">
        <f t="shared" si="0"/>
        <v>25</v>
      </c>
      <c r="K11" s="51">
        <f t="shared" si="0"/>
        <v>307</v>
      </c>
      <c r="L11" s="51">
        <f t="shared" si="0"/>
        <v>92</v>
      </c>
      <c r="M11" s="51">
        <f t="shared" si="0"/>
        <v>212</v>
      </c>
      <c r="N11" s="51">
        <f t="shared" si="0"/>
        <v>3466</v>
      </c>
      <c r="O11" s="51">
        <f t="shared" si="0"/>
        <v>244</v>
      </c>
      <c r="P11" s="51">
        <f t="shared" si="0"/>
        <v>557</v>
      </c>
      <c r="Q11" s="51">
        <f t="shared" si="0"/>
        <v>4767</v>
      </c>
      <c r="R11" s="51">
        <f t="shared" si="0"/>
        <v>800</v>
      </c>
    </row>
    <row r="12" spans="1:19" x14ac:dyDescent="0.25">
      <c r="A12" s="52">
        <v>1</v>
      </c>
      <c r="B12" s="53" t="s">
        <v>16</v>
      </c>
      <c r="C12" s="54" t="s">
        <v>17</v>
      </c>
      <c r="D12" s="55">
        <f>SUM(E12:R12)</f>
        <v>8935</v>
      </c>
      <c r="E12" s="55">
        <v>7589</v>
      </c>
      <c r="F12" s="55">
        <v>1136</v>
      </c>
      <c r="G12" s="55">
        <v>76</v>
      </c>
      <c r="H12" s="55">
        <v>60</v>
      </c>
      <c r="I12" s="55">
        <v>0</v>
      </c>
      <c r="J12" s="55">
        <v>0</v>
      </c>
      <c r="K12" s="55">
        <v>0</v>
      </c>
      <c r="L12" s="55">
        <v>0</v>
      </c>
      <c r="M12" s="55">
        <v>1</v>
      </c>
      <c r="N12" s="55">
        <v>8</v>
      </c>
      <c r="O12" s="55">
        <v>1</v>
      </c>
      <c r="P12" s="55">
        <v>0</v>
      </c>
      <c r="Q12" s="55">
        <v>60</v>
      </c>
      <c r="R12" s="55">
        <v>4</v>
      </c>
      <c r="S12" s="56"/>
    </row>
    <row r="13" spans="1:19" x14ac:dyDescent="0.25">
      <c r="A13" s="52">
        <v>2</v>
      </c>
      <c r="B13" s="57" t="s">
        <v>18</v>
      </c>
      <c r="C13" s="54" t="s">
        <v>19</v>
      </c>
      <c r="D13" s="55">
        <f t="shared" ref="D13:D76" si="1">SUM(E13:R13)</f>
        <v>5618</v>
      </c>
      <c r="E13" s="55">
        <v>5362</v>
      </c>
      <c r="F13" s="55">
        <v>155</v>
      </c>
      <c r="G13" s="55">
        <v>53</v>
      </c>
      <c r="H13" s="55">
        <v>23</v>
      </c>
      <c r="I13" s="55">
        <v>0</v>
      </c>
      <c r="J13" s="55">
        <v>0</v>
      </c>
      <c r="K13" s="55">
        <v>1</v>
      </c>
      <c r="L13" s="55">
        <v>0</v>
      </c>
      <c r="M13" s="55">
        <v>0</v>
      </c>
      <c r="N13" s="55">
        <v>4</v>
      </c>
      <c r="O13" s="55">
        <v>0</v>
      </c>
      <c r="P13" s="55">
        <v>0</v>
      </c>
      <c r="Q13" s="55">
        <v>18</v>
      </c>
      <c r="R13" s="55">
        <v>2</v>
      </c>
      <c r="S13" s="56"/>
    </row>
    <row r="14" spans="1:19" x14ac:dyDescent="0.25">
      <c r="A14" s="52">
        <v>3</v>
      </c>
      <c r="B14" s="58" t="s">
        <v>20</v>
      </c>
      <c r="C14" s="59" t="s">
        <v>21</v>
      </c>
      <c r="D14" s="55">
        <f t="shared" si="1"/>
        <v>14933</v>
      </c>
      <c r="E14" s="55">
        <v>13193</v>
      </c>
      <c r="F14" s="55">
        <v>1387</v>
      </c>
      <c r="G14" s="55">
        <v>145</v>
      </c>
      <c r="H14" s="55">
        <v>81</v>
      </c>
      <c r="I14" s="55">
        <v>0</v>
      </c>
      <c r="J14" s="55">
        <v>0</v>
      </c>
      <c r="K14" s="55">
        <v>10</v>
      </c>
      <c r="L14" s="55">
        <v>1</v>
      </c>
      <c r="M14" s="55">
        <v>0</v>
      </c>
      <c r="N14" s="55">
        <v>60</v>
      </c>
      <c r="O14" s="55">
        <v>4</v>
      </c>
      <c r="P14" s="55">
        <v>0</v>
      </c>
      <c r="Q14" s="55">
        <v>48</v>
      </c>
      <c r="R14" s="55">
        <v>4</v>
      </c>
      <c r="S14" s="56"/>
    </row>
    <row r="15" spans="1:19" x14ac:dyDescent="0.25">
      <c r="A15" s="52">
        <v>4</v>
      </c>
      <c r="B15" s="53" t="s">
        <v>22</v>
      </c>
      <c r="C15" s="54" t="s">
        <v>23</v>
      </c>
      <c r="D15" s="55">
        <f t="shared" si="1"/>
        <v>5064</v>
      </c>
      <c r="E15" s="55">
        <v>4641</v>
      </c>
      <c r="F15" s="55">
        <v>321</v>
      </c>
      <c r="G15" s="55">
        <v>74</v>
      </c>
      <c r="H15" s="55">
        <v>10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2</v>
      </c>
      <c r="O15" s="55">
        <v>0</v>
      </c>
      <c r="P15" s="55">
        <v>1</v>
      </c>
      <c r="Q15" s="55">
        <v>15</v>
      </c>
      <c r="R15" s="55">
        <v>0</v>
      </c>
      <c r="S15" s="56"/>
    </row>
    <row r="16" spans="1:19" x14ac:dyDescent="0.25">
      <c r="A16" s="52">
        <v>5</v>
      </c>
      <c r="B16" s="53" t="s">
        <v>24</v>
      </c>
      <c r="C16" s="54" t="s">
        <v>25</v>
      </c>
      <c r="D16" s="55">
        <f t="shared" si="1"/>
        <v>5698</v>
      </c>
      <c r="E16" s="55">
        <v>4693</v>
      </c>
      <c r="F16" s="55">
        <v>916</v>
      </c>
      <c r="G16" s="55">
        <v>52</v>
      </c>
      <c r="H16" s="55">
        <v>9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7</v>
      </c>
      <c r="O16" s="55">
        <v>5</v>
      </c>
      <c r="P16" s="55">
        <v>3</v>
      </c>
      <c r="Q16" s="55">
        <v>13</v>
      </c>
      <c r="R16" s="55">
        <v>0</v>
      </c>
      <c r="S16" s="56"/>
    </row>
    <row r="17" spans="1:19" x14ac:dyDescent="0.25">
      <c r="A17" s="52">
        <v>6</v>
      </c>
      <c r="B17" s="58" t="s">
        <v>26</v>
      </c>
      <c r="C17" s="59" t="s">
        <v>27</v>
      </c>
      <c r="D17" s="55">
        <f t="shared" si="1"/>
        <v>46860</v>
      </c>
      <c r="E17" s="55">
        <v>45681</v>
      </c>
      <c r="F17" s="55">
        <v>699</v>
      </c>
      <c r="G17" s="55">
        <v>13</v>
      </c>
      <c r="H17" s="55">
        <v>38</v>
      </c>
      <c r="I17" s="55">
        <v>0</v>
      </c>
      <c r="J17" s="55">
        <v>0</v>
      </c>
      <c r="K17" s="55">
        <v>1</v>
      </c>
      <c r="L17" s="55">
        <v>1</v>
      </c>
      <c r="M17" s="55">
        <v>4</v>
      </c>
      <c r="N17" s="55">
        <v>66</v>
      </c>
      <c r="O17" s="55">
        <v>1</v>
      </c>
      <c r="P17" s="55">
        <v>0</v>
      </c>
      <c r="Q17" s="55">
        <v>347</v>
      </c>
      <c r="R17" s="55">
        <v>9</v>
      </c>
      <c r="S17" s="56"/>
    </row>
    <row r="18" spans="1:19" x14ac:dyDescent="0.25">
      <c r="A18" s="52">
        <v>7</v>
      </c>
      <c r="B18" s="60" t="s">
        <v>28</v>
      </c>
      <c r="C18" s="61" t="s">
        <v>29</v>
      </c>
      <c r="D18" s="55">
        <f t="shared" si="1"/>
        <v>15539</v>
      </c>
      <c r="E18" s="55">
        <v>13840</v>
      </c>
      <c r="F18" s="55">
        <v>1253</v>
      </c>
      <c r="G18" s="55">
        <v>338</v>
      </c>
      <c r="H18" s="55">
        <v>21</v>
      </c>
      <c r="I18" s="55">
        <v>0</v>
      </c>
      <c r="J18" s="55">
        <v>0</v>
      </c>
      <c r="K18" s="55">
        <v>12</v>
      </c>
      <c r="L18" s="55">
        <v>3</v>
      </c>
      <c r="M18" s="55">
        <v>1</v>
      </c>
      <c r="N18" s="55">
        <v>1</v>
      </c>
      <c r="O18" s="55">
        <v>15</v>
      </c>
      <c r="P18" s="55">
        <v>9</v>
      </c>
      <c r="Q18" s="55">
        <v>46</v>
      </c>
      <c r="R18" s="55">
        <v>0</v>
      </c>
      <c r="S18" s="56"/>
    </row>
    <row r="19" spans="1:19" x14ac:dyDescent="0.25">
      <c r="A19" s="52">
        <v>8</v>
      </c>
      <c r="B19" s="58" t="s">
        <v>30</v>
      </c>
      <c r="C19" s="59" t="s">
        <v>31</v>
      </c>
      <c r="D19" s="55">
        <f t="shared" si="1"/>
        <v>6227</v>
      </c>
      <c r="E19" s="55">
        <v>6100</v>
      </c>
      <c r="F19" s="55">
        <v>3</v>
      </c>
      <c r="G19" s="55">
        <v>15</v>
      </c>
      <c r="H19" s="55">
        <v>12</v>
      </c>
      <c r="I19" s="55">
        <v>0</v>
      </c>
      <c r="J19" s="55">
        <v>1</v>
      </c>
      <c r="K19" s="55">
        <v>0</v>
      </c>
      <c r="L19" s="55">
        <v>0</v>
      </c>
      <c r="M19" s="55">
        <v>1</v>
      </c>
      <c r="N19" s="55">
        <v>5</v>
      </c>
      <c r="O19" s="55">
        <v>35</v>
      </c>
      <c r="P19" s="55">
        <v>0</v>
      </c>
      <c r="Q19" s="55">
        <v>49</v>
      </c>
      <c r="R19" s="55">
        <v>6</v>
      </c>
      <c r="S19" s="56"/>
    </row>
    <row r="20" spans="1:19" x14ac:dyDescent="0.25">
      <c r="A20" s="52">
        <v>9</v>
      </c>
      <c r="B20" s="58" t="s">
        <v>32</v>
      </c>
      <c r="C20" s="59" t="s">
        <v>33</v>
      </c>
      <c r="D20" s="55">
        <f t="shared" si="1"/>
        <v>7377</v>
      </c>
      <c r="E20" s="55">
        <v>7131</v>
      </c>
      <c r="F20" s="55">
        <v>48</v>
      </c>
      <c r="G20" s="55">
        <v>1</v>
      </c>
      <c r="H20" s="55">
        <v>180</v>
      </c>
      <c r="I20" s="55">
        <v>0</v>
      </c>
      <c r="J20" s="55">
        <v>0</v>
      </c>
      <c r="K20" s="55">
        <v>0</v>
      </c>
      <c r="L20" s="55">
        <v>0</v>
      </c>
      <c r="M20" s="55">
        <v>1</v>
      </c>
      <c r="N20" s="55">
        <v>1</v>
      </c>
      <c r="O20" s="55">
        <v>3</v>
      </c>
      <c r="P20" s="55">
        <v>0</v>
      </c>
      <c r="Q20" s="55">
        <v>12</v>
      </c>
      <c r="R20" s="55">
        <v>0</v>
      </c>
      <c r="S20" s="56"/>
    </row>
    <row r="21" spans="1:19" x14ac:dyDescent="0.25">
      <c r="A21" s="52">
        <v>10</v>
      </c>
      <c r="B21" s="58" t="s">
        <v>34</v>
      </c>
      <c r="C21" s="59" t="s">
        <v>35</v>
      </c>
      <c r="D21" s="55">
        <f t="shared" si="1"/>
        <v>9011</v>
      </c>
      <c r="E21" s="55">
        <v>8808</v>
      </c>
      <c r="F21" s="55">
        <v>56</v>
      </c>
      <c r="G21" s="55">
        <v>0</v>
      </c>
      <c r="H21" s="55">
        <v>76</v>
      </c>
      <c r="I21" s="55">
        <v>0</v>
      </c>
      <c r="J21" s="55">
        <v>0</v>
      </c>
      <c r="K21" s="55">
        <v>3</v>
      </c>
      <c r="L21" s="55">
        <v>0</v>
      </c>
      <c r="M21" s="55">
        <v>2</v>
      </c>
      <c r="N21" s="55">
        <v>0</v>
      </c>
      <c r="O21" s="55">
        <v>0</v>
      </c>
      <c r="P21" s="55">
        <v>0</v>
      </c>
      <c r="Q21" s="55">
        <v>41</v>
      </c>
      <c r="R21" s="55">
        <v>25</v>
      </c>
      <c r="S21" s="56"/>
    </row>
    <row r="22" spans="1:19" x14ac:dyDescent="0.25">
      <c r="A22" s="52">
        <v>11</v>
      </c>
      <c r="B22" s="58" t="s">
        <v>36</v>
      </c>
      <c r="C22" s="59" t="s">
        <v>37</v>
      </c>
      <c r="D22" s="55">
        <f t="shared" si="1"/>
        <v>8641</v>
      </c>
      <c r="E22" s="55">
        <v>8436</v>
      </c>
      <c r="F22" s="55">
        <v>168</v>
      </c>
      <c r="G22" s="55">
        <v>0</v>
      </c>
      <c r="H22" s="55">
        <v>9</v>
      </c>
      <c r="I22" s="55">
        <v>0</v>
      </c>
      <c r="J22" s="55">
        <v>0</v>
      </c>
      <c r="K22" s="55">
        <v>0</v>
      </c>
      <c r="L22" s="55">
        <v>0</v>
      </c>
      <c r="M22" s="55">
        <v>3</v>
      </c>
      <c r="N22" s="55">
        <v>16</v>
      </c>
      <c r="O22" s="55">
        <v>0</v>
      </c>
      <c r="P22" s="55">
        <v>0</v>
      </c>
      <c r="Q22" s="55">
        <v>8</v>
      </c>
      <c r="R22" s="55">
        <v>1</v>
      </c>
      <c r="S22" s="56"/>
    </row>
    <row r="23" spans="1:19" x14ac:dyDescent="0.25">
      <c r="A23" s="52">
        <v>12</v>
      </c>
      <c r="B23" s="58" t="s">
        <v>38</v>
      </c>
      <c r="C23" s="59" t="s">
        <v>39</v>
      </c>
      <c r="D23" s="55">
        <f t="shared" si="1"/>
        <v>14669</v>
      </c>
      <c r="E23" s="55">
        <v>12692</v>
      </c>
      <c r="F23" s="55">
        <v>1574</v>
      </c>
      <c r="G23" s="55">
        <v>316</v>
      </c>
      <c r="H23" s="55">
        <v>82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3</v>
      </c>
      <c r="R23" s="55">
        <v>2</v>
      </c>
      <c r="S23" s="56"/>
    </row>
    <row r="24" spans="1:19" x14ac:dyDescent="0.25">
      <c r="A24" s="52">
        <v>13</v>
      </c>
      <c r="B24" s="58" t="s">
        <v>40</v>
      </c>
      <c r="C24" s="54" t="s">
        <v>41</v>
      </c>
      <c r="D24" s="55">
        <f t="shared" si="1"/>
        <v>0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0</v>
      </c>
      <c r="S24" s="56"/>
    </row>
    <row r="25" spans="1:19" x14ac:dyDescent="0.25">
      <c r="A25" s="52">
        <v>14</v>
      </c>
      <c r="B25" s="53" t="s">
        <v>42</v>
      </c>
      <c r="C25" s="59" t="s">
        <v>43</v>
      </c>
      <c r="D25" s="55">
        <f t="shared" si="1"/>
        <v>0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</v>
      </c>
      <c r="R25" s="55">
        <v>0</v>
      </c>
      <c r="S25" s="56"/>
    </row>
    <row r="26" spans="1:19" x14ac:dyDescent="0.25">
      <c r="A26" s="52">
        <v>15</v>
      </c>
      <c r="B26" s="58" t="s">
        <v>44</v>
      </c>
      <c r="C26" s="59" t="s">
        <v>45</v>
      </c>
      <c r="D26" s="55">
        <f t="shared" si="1"/>
        <v>6357</v>
      </c>
      <c r="E26" s="55">
        <v>5931</v>
      </c>
      <c r="F26" s="55">
        <v>294</v>
      </c>
      <c r="G26" s="55">
        <v>74</v>
      </c>
      <c r="H26" s="55">
        <v>4</v>
      </c>
      <c r="I26" s="55">
        <v>0</v>
      </c>
      <c r="J26" s="55">
        <v>0</v>
      </c>
      <c r="K26" s="55">
        <v>0</v>
      </c>
      <c r="L26" s="55">
        <v>0</v>
      </c>
      <c r="M26" s="55">
        <v>1</v>
      </c>
      <c r="N26" s="55">
        <v>18</v>
      </c>
      <c r="O26" s="55">
        <v>1</v>
      </c>
      <c r="P26" s="55">
        <v>0</v>
      </c>
      <c r="Q26" s="55">
        <v>20</v>
      </c>
      <c r="R26" s="55">
        <v>14</v>
      </c>
      <c r="S26" s="56"/>
    </row>
    <row r="27" spans="1:19" x14ac:dyDescent="0.25">
      <c r="A27" s="52">
        <v>16</v>
      </c>
      <c r="B27" s="58" t="s">
        <v>46</v>
      </c>
      <c r="C27" s="59" t="s">
        <v>47</v>
      </c>
      <c r="D27" s="55">
        <f t="shared" si="1"/>
        <v>6446</v>
      </c>
      <c r="E27" s="55">
        <v>5331</v>
      </c>
      <c r="F27" s="55">
        <v>757</v>
      </c>
      <c r="G27" s="55">
        <v>167</v>
      </c>
      <c r="H27" s="55">
        <v>94</v>
      </c>
      <c r="I27" s="55">
        <v>0</v>
      </c>
      <c r="J27" s="55">
        <v>0</v>
      </c>
      <c r="K27" s="55">
        <v>0</v>
      </c>
      <c r="L27" s="55">
        <v>0</v>
      </c>
      <c r="M27" s="55">
        <v>2</v>
      </c>
      <c r="N27" s="55">
        <v>83</v>
      </c>
      <c r="O27" s="55">
        <v>0</v>
      </c>
      <c r="P27" s="55">
        <v>1</v>
      </c>
      <c r="Q27" s="55">
        <v>9</v>
      </c>
      <c r="R27" s="55">
        <v>2</v>
      </c>
      <c r="S27" s="56"/>
    </row>
    <row r="28" spans="1:19" x14ac:dyDescent="0.25">
      <c r="A28" s="52">
        <v>17</v>
      </c>
      <c r="B28" s="58" t="s">
        <v>48</v>
      </c>
      <c r="C28" s="59" t="s">
        <v>49</v>
      </c>
      <c r="D28" s="55">
        <f t="shared" si="1"/>
        <v>7622</v>
      </c>
      <c r="E28" s="55">
        <v>6903</v>
      </c>
      <c r="F28" s="55">
        <v>380</v>
      </c>
      <c r="G28" s="55">
        <v>179</v>
      </c>
      <c r="H28" s="55">
        <v>22</v>
      </c>
      <c r="I28" s="55">
        <v>0</v>
      </c>
      <c r="J28" s="55">
        <v>0</v>
      </c>
      <c r="K28" s="55">
        <v>0</v>
      </c>
      <c r="L28" s="55">
        <v>1</v>
      </c>
      <c r="M28" s="55">
        <v>1</v>
      </c>
      <c r="N28" s="55">
        <v>4</v>
      </c>
      <c r="O28" s="55">
        <v>0</v>
      </c>
      <c r="P28" s="55">
        <v>0</v>
      </c>
      <c r="Q28" s="55">
        <v>129</v>
      </c>
      <c r="R28" s="55">
        <v>3</v>
      </c>
      <c r="S28" s="56"/>
    </row>
    <row r="29" spans="1:19" x14ac:dyDescent="0.25">
      <c r="A29" s="52">
        <v>18</v>
      </c>
      <c r="B29" s="58" t="s">
        <v>50</v>
      </c>
      <c r="C29" s="59" t="s">
        <v>51</v>
      </c>
      <c r="D29" s="55">
        <f t="shared" si="1"/>
        <v>13025</v>
      </c>
      <c r="E29" s="55">
        <v>12799</v>
      </c>
      <c r="F29" s="55">
        <v>41</v>
      </c>
      <c r="G29" s="55">
        <v>50</v>
      </c>
      <c r="H29" s="55">
        <v>62</v>
      </c>
      <c r="I29" s="55">
        <v>0</v>
      </c>
      <c r="J29" s="55">
        <v>0</v>
      </c>
      <c r="K29" s="55">
        <v>1</v>
      </c>
      <c r="L29" s="55">
        <v>2</v>
      </c>
      <c r="M29" s="55">
        <v>0</v>
      </c>
      <c r="N29" s="55">
        <v>3</v>
      </c>
      <c r="O29" s="55">
        <v>3</v>
      </c>
      <c r="P29" s="55">
        <v>6</v>
      </c>
      <c r="Q29" s="55">
        <v>40</v>
      </c>
      <c r="R29" s="55">
        <v>18</v>
      </c>
      <c r="S29" s="56"/>
    </row>
    <row r="30" spans="1:19" x14ac:dyDescent="0.25">
      <c r="A30" s="52">
        <v>19</v>
      </c>
      <c r="B30" s="53" t="s">
        <v>52</v>
      </c>
      <c r="C30" s="54" t="s">
        <v>53</v>
      </c>
      <c r="D30" s="55">
        <f t="shared" si="1"/>
        <v>3339</v>
      </c>
      <c r="E30" s="55">
        <v>3220</v>
      </c>
      <c r="F30" s="55">
        <v>0</v>
      </c>
      <c r="G30" s="55">
        <v>9</v>
      </c>
      <c r="H30" s="55">
        <v>0</v>
      </c>
      <c r="I30" s="55">
        <v>0</v>
      </c>
      <c r="J30" s="55">
        <v>0</v>
      </c>
      <c r="K30" s="55">
        <v>0</v>
      </c>
      <c r="L30" s="55">
        <v>5</v>
      </c>
      <c r="M30" s="55">
        <v>0</v>
      </c>
      <c r="N30" s="55">
        <v>14</v>
      </c>
      <c r="O30" s="55">
        <v>0</v>
      </c>
      <c r="P30" s="55">
        <v>0</v>
      </c>
      <c r="Q30" s="55">
        <v>91</v>
      </c>
      <c r="R30" s="55">
        <v>0</v>
      </c>
      <c r="S30" s="56"/>
    </row>
    <row r="31" spans="1:19" x14ac:dyDescent="0.25">
      <c r="A31" s="52">
        <v>20</v>
      </c>
      <c r="B31" s="53" t="s">
        <v>54</v>
      </c>
      <c r="C31" s="54" t="s">
        <v>55</v>
      </c>
      <c r="D31" s="55">
        <f t="shared" si="1"/>
        <v>4550</v>
      </c>
      <c r="E31" s="55">
        <v>4406</v>
      </c>
      <c r="F31" s="55">
        <v>0</v>
      </c>
      <c r="G31" s="55">
        <v>93</v>
      </c>
      <c r="H31" s="55">
        <v>2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4</v>
      </c>
      <c r="O31" s="55">
        <v>0</v>
      </c>
      <c r="P31" s="55">
        <v>4</v>
      </c>
      <c r="Q31" s="55">
        <v>41</v>
      </c>
      <c r="R31" s="55">
        <v>0</v>
      </c>
      <c r="S31" s="56"/>
    </row>
    <row r="32" spans="1:19" x14ac:dyDescent="0.25">
      <c r="A32" s="52">
        <v>21</v>
      </c>
      <c r="B32" s="53" t="s">
        <v>56</v>
      </c>
      <c r="C32" s="54" t="s">
        <v>57</v>
      </c>
      <c r="D32" s="55">
        <f t="shared" si="1"/>
        <v>17600</v>
      </c>
      <c r="E32" s="55">
        <v>16901</v>
      </c>
      <c r="F32" s="55">
        <v>525</v>
      </c>
      <c r="G32" s="55">
        <v>0</v>
      </c>
      <c r="H32" s="55">
        <v>40</v>
      </c>
      <c r="I32" s="55">
        <v>0</v>
      </c>
      <c r="J32" s="55">
        <v>0</v>
      </c>
      <c r="K32" s="55">
        <v>2</v>
      </c>
      <c r="L32" s="55">
        <v>0</v>
      </c>
      <c r="M32" s="55">
        <v>0</v>
      </c>
      <c r="N32" s="55">
        <v>35</v>
      </c>
      <c r="O32" s="55">
        <v>1</v>
      </c>
      <c r="P32" s="55">
        <v>1</v>
      </c>
      <c r="Q32" s="55">
        <v>86</v>
      </c>
      <c r="R32" s="55">
        <v>9</v>
      </c>
      <c r="S32" s="56"/>
    </row>
    <row r="33" spans="1:19" x14ac:dyDescent="0.25">
      <c r="A33" s="52">
        <v>22</v>
      </c>
      <c r="B33" s="53" t="s">
        <v>58</v>
      </c>
      <c r="C33" s="54" t="s">
        <v>59</v>
      </c>
      <c r="D33" s="55">
        <f t="shared" si="1"/>
        <v>17702</v>
      </c>
      <c r="E33" s="55">
        <v>16049</v>
      </c>
      <c r="F33" s="55">
        <v>1481</v>
      </c>
      <c r="G33" s="55">
        <v>117</v>
      </c>
      <c r="H33" s="55">
        <v>24</v>
      </c>
      <c r="I33" s="55">
        <v>0</v>
      </c>
      <c r="J33" s="55">
        <v>0</v>
      </c>
      <c r="K33" s="55">
        <v>0</v>
      </c>
      <c r="L33" s="55">
        <v>0</v>
      </c>
      <c r="M33" s="55">
        <v>2</v>
      </c>
      <c r="N33" s="55">
        <v>1</v>
      </c>
      <c r="O33" s="55">
        <v>0</v>
      </c>
      <c r="P33" s="55">
        <v>5</v>
      </c>
      <c r="Q33" s="55">
        <v>22</v>
      </c>
      <c r="R33" s="55">
        <v>1</v>
      </c>
      <c r="S33" s="56"/>
    </row>
    <row r="34" spans="1:19" x14ac:dyDescent="0.25">
      <c r="A34" s="52">
        <v>23</v>
      </c>
      <c r="B34" s="58" t="s">
        <v>60</v>
      </c>
      <c r="C34" s="59" t="s">
        <v>61</v>
      </c>
      <c r="D34" s="55">
        <f t="shared" si="1"/>
        <v>2092</v>
      </c>
      <c r="E34" s="55">
        <v>1984</v>
      </c>
      <c r="F34" s="55">
        <v>0</v>
      </c>
      <c r="G34" s="55">
        <v>45</v>
      </c>
      <c r="H34" s="55">
        <v>32</v>
      </c>
      <c r="I34" s="55">
        <v>0</v>
      </c>
      <c r="J34" s="55">
        <v>1</v>
      </c>
      <c r="K34" s="55">
        <v>0</v>
      </c>
      <c r="L34" s="55">
        <v>0</v>
      </c>
      <c r="M34" s="55">
        <v>4</v>
      </c>
      <c r="N34" s="55">
        <v>13</v>
      </c>
      <c r="O34" s="55">
        <v>4</v>
      </c>
      <c r="P34" s="55">
        <v>0</v>
      </c>
      <c r="Q34" s="55">
        <v>9</v>
      </c>
      <c r="R34" s="55">
        <v>0</v>
      </c>
      <c r="S34" s="56"/>
    </row>
    <row r="35" spans="1:19" x14ac:dyDescent="0.25">
      <c r="A35" s="52">
        <v>24</v>
      </c>
      <c r="B35" s="58" t="s">
        <v>62</v>
      </c>
      <c r="C35" s="59" t="s">
        <v>63</v>
      </c>
      <c r="D35" s="55">
        <f t="shared" si="1"/>
        <v>0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6"/>
    </row>
    <row r="36" spans="1:19" ht="24" x14ac:dyDescent="0.25">
      <c r="A36" s="52">
        <v>25</v>
      </c>
      <c r="B36" s="58" t="s">
        <v>64</v>
      </c>
      <c r="C36" s="59" t="s">
        <v>65</v>
      </c>
      <c r="D36" s="55">
        <f t="shared" si="1"/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6"/>
    </row>
    <row r="37" spans="1:19" x14ac:dyDescent="0.25">
      <c r="A37" s="52">
        <v>26</v>
      </c>
      <c r="B37" s="53" t="s">
        <v>66</v>
      </c>
      <c r="C37" s="61" t="s">
        <v>67</v>
      </c>
      <c r="D37" s="55">
        <f t="shared" si="1"/>
        <v>42863</v>
      </c>
      <c r="E37" s="55">
        <v>38719</v>
      </c>
      <c r="F37" s="55">
        <v>2226</v>
      </c>
      <c r="G37" s="55">
        <v>700</v>
      </c>
      <c r="H37" s="55">
        <v>1007</v>
      </c>
      <c r="I37" s="55">
        <v>0</v>
      </c>
      <c r="J37" s="55">
        <v>1</v>
      </c>
      <c r="K37" s="55">
        <v>4</v>
      </c>
      <c r="L37" s="55">
        <v>10</v>
      </c>
      <c r="M37" s="55">
        <v>5</v>
      </c>
      <c r="N37" s="55">
        <v>58</v>
      </c>
      <c r="O37" s="55">
        <v>3</v>
      </c>
      <c r="P37" s="55">
        <v>3</v>
      </c>
      <c r="Q37" s="55">
        <v>8</v>
      </c>
      <c r="R37" s="55">
        <v>119</v>
      </c>
      <c r="S37" s="56"/>
    </row>
    <row r="38" spans="1:19" x14ac:dyDescent="0.25">
      <c r="A38" s="52">
        <v>27</v>
      </c>
      <c r="B38" s="58" t="s">
        <v>68</v>
      </c>
      <c r="C38" s="59" t="s">
        <v>69</v>
      </c>
      <c r="D38" s="55">
        <f t="shared" si="1"/>
        <v>12576</v>
      </c>
      <c r="E38" s="55">
        <v>11215</v>
      </c>
      <c r="F38" s="55">
        <v>697</v>
      </c>
      <c r="G38" s="55">
        <v>275</v>
      </c>
      <c r="H38" s="55">
        <v>323</v>
      </c>
      <c r="I38" s="55">
        <v>0</v>
      </c>
      <c r="J38" s="55">
        <v>0</v>
      </c>
      <c r="K38" s="55">
        <v>1</v>
      </c>
      <c r="L38" s="55">
        <v>7</v>
      </c>
      <c r="M38" s="55">
        <v>2</v>
      </c>
      <c r="N38" s="55">
        <v>41</v>
      </c>
      <c r="O38" s="55">
        <v>3</v>
      </c>
      <c r="P38" s="55">
        <v>3</v>
      </c>
      <c r="Q38" s="55">
        <v>3</v>
      </c>
      <c r="R38" s="55">
        <v>6</v>
      </c>
      <c r="S38" s="56"/>
    </row>
    <row r="39" spans="1:19" x14ac:dyDescent="0.25">
      <c r="A39" s="52">
        <v>28</v>
      </c>
      <c r="B39" s="58" t="s">
        <v>70</v>
      </c>
      <c r="C39" s="59" t="s">
        <v>71</v>
      </c>
      <c r="D39" s="55">
        <f t="shared" si="1"/>
        <v>0</v>
      </c>
      <c r="E39" s="55">
        <v>0</v>
      </c>
      <c r="F39" s="55">
        <v>0</v>
      </c>
      <c r="G39" s="55">
        <v>0</v>
      </c>
      <c r="H39" s="55">
        <v>0</v>
      </c>
      <c r="I39" s="55">
        <v>0</v>
      </c>
      <c r="J39" s="55">
        <v>0</v>
      </c>
      <c r="K39" s="55">
        <v>0</v>
      </c>
      <c r="L39" s="55">
        <v>0</v>
      </c>
      <c r="M39" s="55">
        <v>0</v>
      </c>
      <c r="N39" s="55">
        <v>0</v>
      </c>
      <c r="O39" s="55">
        <v>0</v>
      </c>
      <c r="P39" s="55">
        <v>0</v>
      </c>
      <c r="Q39" s="55">
        <v>0</v>
      </c>
      <c r="R39" s="55">
        <v>0</v>
      </c>
      <c r="S39" s="56"/>
    </row>
    <row r="40" spans="1:19" x14ac:dyDescent="0.25">
      <c r="A40" s="52">
        <v>29</v>
      </c>
      <c r="B40" s="57" t="s">
        <v>72</v>
      </c>
      <c r="C40" s="61" t="s">
        <v>73</v>
      </c>
      <c r="D40" s="55">
        <f t="shared" si="1"/>
        <v>0</v>
      </c>
      <c r="E40" s="55">
        <v>0</v>
      </c>
      <c r="F40" s="55">
        <v>0</v>
      </c>
      <c r="G40" s="55">
        <v>0</v>
      </c>
      <c r="H40" s="55">
        <v>0</v>
      </c>
      <c r="I40" s="55">
        <v>0</v>
      </c>
      <c r="J40" s="55">
        <v>0</v>
      </c>
      <c r="K40" s="55">
        <v>0</v>
      </c>
      <c r="L40" s="55">
        <v>0</v>
      </c>
      <c r="M40" s="55">
        <v>0</v>
      </c>
      <c r="N40" s="55">
        <v>0</v>
      </c>
      <c r="O40" s="55">
        <v>0</v>
      </c>
      <c r="P40" s="55">
        <v>0</v>
      </c>
      <c r="Q40" s="55">
        <v>0</v>
      </c>
      <c r="R40" s="55">
        <v>0</v>
      </c>
      <c r="S40" s="56"/>
    </row>
    <row r="41" spans="1:19" ht="24" x14ac:dyDescent="0.25">
      <c r="A41" s="52">
        <v>30</v>
      </c>
      <c r="B41" s="53" t="s">
        <v>74</v>
      </c>
      <c r="C41" s="54" t="s">
        <v>377</v>
      </c>
      <c r="D41" s="55">
        <f t="shared" si="1"/>
        <v>0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0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6"/>
    </row>
    <row r="42" spans="1:19" x14ac:dyDescent="0.25">
      <c r="A42" s="52">
        <v>31</v>
      </c>
      <c r="B42" s="58" t="s">
        <v>75</v>
      </c>
      <c r="C42" s="59" t="s">
        <v>76</v>
      </c>
      <c r="D42" s="55">
        <f t="shared" si="1"/>
        <v>156</v>
      </c>
      <c r="E42" s="55">
        <v>2</v>
      </c>
      <c r="F42" s="55">
        <v>85</v>
      </c>
      <c r="G42" s="55">
        <v>3</v>
      </c>
      <c r="H42" s="55">
        <v>11</v>
      </c>
      <c r="I42" s="55">
        <v>0</v>
      </c>
      <c r="J42" s="55">
        <v>0</v>
      </c>
      <c r="K42" s="55">
        <v>0</v>
      </c>
      <c r="L42" s="55">
        <v>0</v>
      </c>
      <c r="M42" s="55">
        <v>1</v>
      </c>
      <c r="N42" s="55">
        <v>4</v>
      </c>
      <c r="O42" s="55">
        <v>0</v>
      </c>
      <c r="P42" s="55">
        <v>0</v>
      </c>
      <c r="Q42" s="55">
        <v>50</v>
      </c>
      <c r="R42" s="55">
        <v>0</v>
      </c>
      <c r="S42" s="56"/>
    </row>
    <row r="43" spans="1:19" x14ac:dyDescent="0.25">
      <c r="A43" s="52">
        <v>32</v>
      </c>
      <c r="B43" s="57" t="s">
        <v>77</v>
      </c>
      <c r="C43" s="54" t="s">
        <v>78</v>
      </c>
      <c r="D43" s="55">
        <f t="shared" si="1"/>
        <v>18204</v>
      </c>
      <c r="E43" s="55">
        <v>16961</v>
      </c>
      <c r="F43" s="55">
        <v>556</v>
      </c>
      <c r="G43" s="55">
        <v>418</v>
      </c>
      <c r="H43" s="55">
        <v>254</v>
      </c>
      <c r="I43" s="55">
        <v>0</v>
      </c>
      <c r="J43" s="55">
        <v>0</v>
      </c>
      <c r="K43" s="55">
        <v>0</v>
      </c>
      <c r="L43" s="55">
        <v>0</v>
      </c>
      <c r="M43" s="55">
        <v>0</v>
      </c>
      <c r="N43" s="55">
        <v>4</v>
      </c>
      <c r="O43" s="55">
        <v>6</v>
      </c>
      <c r="P43" s="55">
        <v>2</v>
      </c>
      <c r="Q43" s="55">
        <v>3</v>
      </c>
      <c r="R43" s="55">
        <v>0</v>
      </c>
      <c r="S43" s="56"/>
    </row>
    <row r="44" spans="1:19" x14ac:dyDescent="0.25">
      <c r="A44" s="52">
        <v>33</v>
      </c>
      <c r="B44" s="60" t="s">
        <v>79</v>
      </c>
      <c r="C44" s="61" t="s">
        <v>80</v>
      </c>
      <c r="D44" s="55">
        <f t="shared" si="1"/>
        <v>26101</v>
      </c>
      <c r="E44" s="55">
        <v>24034</v>
      </c>
      <c r="F44" s="55">
        <v>920</v>
      </c>
      <c r="G44" s="55">
        <v>625</v>
      </c>
      <c r="H44" s="55">
        <v>41</v>
      </c>
      <c r="I44" s="55">
        <v>1</v>
      </c>
      <c r="J44" s="55">
        <v>0</v>
      </c>
      <c r="K44" s="55">
        <v>1</v>
      </c>
      <c r="L44" s="55">
        <v>5</v>
      </c>
      <c r="M44" s="55">
        <v>0</v>
      </c>
      <c r="N44" s="55">
        <v>30</v>
      </c>
      <c r="O44" s="55">
        <v>0</v>
      </c>
      <c r="P44" s="55">
        <v>0</v>
      </c>
      <c r="Q44" s="55">
        <v>426</v>
      </c>
      <c r="R44" s="55">
        <v>18</v>
      </c>
      <c r="S44" s="56"/>
    </row>
    <row r="45" spans="1:19" x14ac:dyDescent="0.25">
      <c r="A45" s="52">
        <v>34</v>
      </c>
      <c r="B45" s="57" t="s">
        <v>81</v>
      </c>
      <c r="C45" s="54" t="s">
        <v>82</v>
      </c>
      <c r="D45" s="55">
        <f t="shared" si="1"/>
        <v>4276</v>
      </c>
      <c r="E45" s="55">
        <v>3024</v>
      </c>
      <c r="F45" s="55">
        <v>1186</v>
      </c>
      <c r="G45" s="55">
        <v>8</v>
      </c>
      <c r="H45" s="55">
        <v>37</v>
      </c>
      <c r="I45" s="55">
        <v>0</v>
      </c>
      <c r="J45" s="55">
        <v>0</v>
      </c>
      <c r="K45" s="55">
        <v>0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21</v>
      </c>
      <c r="R45" s="55">
        <v>0</v>
      </c>
      <c r="S45" s="56"/>
    </row>
    <row r="46" spans="1:19" x14ac:dyDescent="0.25">
      <c r="A46" s="52">
        <v>35</v>
      </c>
      <c r="B46" s="58" t="s">
        <v>83</v>
      </c>
      <c r="C46" s="59" t="s">
        <v>84</v>
      </c>
      <c r="D46" s="55">
        <f t="shared" si="1"/>
        <v>16198</v>
      </c>
      <c r="E46" s="55">
        <v>15130</v>
      </c>
      <c r="F46" s="55">
        <v>253</v>
      </c>
      <c r="G46" s="55">
        <v>443</v>
      </c>
      <c r="H46" s="55">
        <v>51</v>
      </c>
      <c r="I46" s="55">
        <v>0</v>
      </c>
      <c r="J46" s="55">
        <v>1</v>
      </c>
      <c r="K46" s="55">
        <v>20</v>
      </c>
      <c r="L46" s="55">
        <v>8</v>
      </c>
      <c r="M46" s="55">
        <v>1</v>
      </c>
      <c r="N46" s="55">
        <v>13</v>
      </c>
      <c r="O46" s="55">
        <v>3</v>
      </c>
      <c r="P46" s="55">
        <v>0</v>
      </c>
      <c r="Q46" s="55">
        <v>217</v>
      </c>
      <c r="R46" s="55">
        <v>58</v>
      </c>
      <c r="S46" s="56"/>
    </row>
    <row r="47" spans="1:19" x14ac:dyDescent="0.25">
      <c r="A47" s="52">
        <v>36</v>
      </c>
      <c r="B47" s="57" t="s">
        <v>85</v>
      </c>
      <c r="C47" s="54" t="s">
        <v>86</v>
      </c>
      <c r="D47" s="55">
        <f t="shared" si="1"/>
        <v>6751</v>
      </c>
      <c r="E47" s="55">
        <v>6259</v>
      </c>
      <c r="F47" s="55">
        <v>242</v>
      </c>
      <c r="G47" s="55">
        <v>130</v>
      </c>
      <c r="H47" s="55">
        <v>78</v>
      </c>
      <c r="I47" s="55">
        <v>0</v>
      </c>
      <c r="J47" s="55">
        <v>0</v>
      </c>
      <c r="K47" s="55">
        <v>3</v>
      </c>
      <c r="L47" s="55">
        <v>2</v>
      </c>
      <c r="M47" s="55">
        <v>2</v>
      </c>
      <c r="N47" s="55">
        <v>27</v>
      </c>
      <c r="O47" s="55">
        <v>1</v>
      </c>
      <c r="P47" s="55">
        <v>0</v>
      </c>
      <c r="Q47" s="55">
        <v>7</v>
      </c>
      <c r="R47" s="55">
        <v>0</v>
      </c>
      <c r="S47" s="56"/>
    </row>
    <row r="48" spans="1:19" x14ac:dyDescent="0.25">
      <c r="A48" s="52">
        <v>37</v>
      </c>
      <c r="B48" s="53" t="s">
        <v>87</v>
      </c>
      <c r="C48" s="54" t="s">
        <v>88</v>
      </c>
      <c r="D48" s="55">
        <f t="shared" si="1"/>
        <v>30682</v>
      </c>
      <c r="E48" s="55">
        <v>26192</v>
      </c>
      <c r="F48" s="55">
        <v>3487</v>
      </c>
      <c r="G48" s="55">
        <v>594</v>
      </c>
      <c r="H48" s="55">
        <v>336</v>
      </c>
      <c r="I48" s="55">
        <v>0</v>
      </c>
      <c r="J48" s="55">
        <v>2</v>
      </c>
      <c r="K48" s="55">
        <v>21</v>
      </c>
      <c r="L48" s="55">
        <v>5</v>
      </c>
      <c r="M48" s="55">
        <v>2</v>
      </c>
      <c r="N48" s="55">
        <v>2</v>
      </c>
      <c r="O48" s="55">
        <v>2</v>
      </c>
      <c r="P48" s="55">
        <v>0</v>
      </c>
      <c r="Q48" s="55">
        <v>31</v>
      </c>
      <c r="R48" s="55">
        <v>8</v>
      </c>
      <c r="S48" s="56"/>
    </row>
    <row r="49" spans="1:19" x14ac:dyDescent="0.25">
      <c r="A49" s="52">
        <v>38</v>
      </c>
      <c r="B49" s="62" t="s">
        <v>89</v>
      </c>
      <c r="C49" s="63" t="s">
        <v>90</v>
      </c>
      <c r="D49" s="55">
        <f t="shared" si="1"/>
        <v>6892</v>
      </c>
      <c r="E49" s="55">
        <v>6400</v>
      </c>
      <c r="F49" s="55">
        <v>433</v>
      </c>
      <c r="G49" s="55">
        <v>0</v>
      </c>
      <c r="H49" s="55">
        <v>39</v>
      </c>
      <c r="I49" s="55">
        <v>0</v>
      </c>
      <c r="J49" s="55">
        <v>0</v>
      </c>
      <c r="K49" s="55">
        <v>13</v>
      </c>
      <c r="L49" s="55">
        <v>2</v>
      </c>
      <c r="M49" s="55">
        <v>3</v>
      </c>
      <c r="N49" s="55">
        <v>0</v>
      </c>
      <c r="O49" s="55">
        <v>0</v>
      </c>
      <c r="P49" s="55">
        <v>0</v>
      </c>
      <c r="Q49" s="55">
        <v>0</v>
      </c>
      <c r="R49" s="55">
        <v>2</v>
      </c>
      <c r="S49" s="56"/>
    </row>
    <row r="50" spans="1:19" x14ac:dyDescent="0.25">
      <c r="A50" s="52">
        <v>39</v>
      </c>
      <c r="B50" s="53" t="s">
        <v>91</v>
      </c>
      <c r="C50" s="54" t="s">
        <v>92</v>
      </c>
      <c r="D50" s="55">
        <f t="shared" si="1"/>
        <v>7075</v>
      </c>
      <c r="E50" s="55">
        <v>6886</v>
      </c>
      <c r="F50" s="55">
        <v>133</v>
      </c>
      <c r="G50" s="55">
        <v>8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6</v>
      </c>
      <c r="O50" s="55">
        <v>0</v>
      </c>
      <c r="P50" s="55">
        <v>0</v>
      </c>
      <c r="Q50" s="55">
        <v>42</v>
      </c>
      <c r="R50" s="55">
        <v>0</v>
      </c>
      <c r="S50" s="56"/>
    </row>
    <row r="51" spans="1:19" x14ac:dyDescent="0.25">
      <c r="A51" s="52">
        <v>40</v>
      </c>
      <c r="B51" s="60" t="s">
        <v>93</v>
      </c>
      <c r="C51" s="61" t="s">
        <v>94</v>
      </c>
      <c r="D51" s="55">
        <f t="shared" si="1"/>
        <v>11151</v>
      </c>
      <c r="E51" s="55">
        <v>9771</v>
      </c>
      <c r="F51" s="55">
        <v>736</v>
      </c>
      <c r="G51" s="55">
        <v>141</v>
      </c>
      <c r="H51" s="55">
        <v>384</v>
      </c>
      <c r="I51" s="55">
        <v>0</v>
      </c>
      <c r="J51" s="55">
        <v>0</v>
      </c>
      <c r="K51" s="55">
        <v>0</v>
      </c>
      <c r="L51" s="55">
        <v>0</v>
      </c>
      <c r="M51" s="55">
        <v>2</v>
      </c>
      <c r="N51" s="55">
        <v>77</v>
      </c>
      <c r="O51" s="55">
        <v>7</v>
      </c>
      <c r="P51" s="55">
        <v>0</v>
      </c>
      <c r="Q51" s="55">
        <v>33</v>
      </c>
      <c r="R51" s="55">
        <v>0</v>
      </c>
      <c r="S51" s="56"/>
    </row>
    <row r="52" spans="1:19" x14ac:dyDescent="0.25">
      <c r="A52" s="52">
        <v>41</v>
      </c>
      <c r="B52" s="58" t="s">
        <v>95</v>
      </c>
      <c r="C52" s="59" t="s">
        <v>96</v>
      </c>
      <c r="D52" s="55">
        <f t="shared" si="1"/>
        <v>4778</v>
      </c>
      <c r="E52" s="55">
        <v>4575</v>
      </c>
      <c r="F52" s="55">
        <v>135</v>
      </c>
      <c r="G52" s="55">
        <v>0</v>
      </c>
      <c r="H52" s="55">
        <v>8</v>
      </c>
      <c r="I52" s="55">
        <v>0</v>
      </c>
      <c r="J52" s="55">
        <v>2</v>
      </c>
      <c r="K52" s="55">
        <v>0</v>
      </c>
      <c r="L52" s="55">
        <v>0</v>
      </c>
      <c r="M52" s="55">
        <v>1</v>
      </c>
      <c r="N52" s="55">
        <v>35</v>
      </c>
      <c r="O52" s="55">
        <v>3</v>
      </c>
      <c r="P52" s="55">
        <v>0</v>
      </c>
      <c r="Q52" s="55">
        <v>19</v>
      </c>
      <c r="R52" s="55">
        <v>0</v>
      </c>
      <c r="S52" s="56"/>
    </row>
    <row r="53" spans="1:19" x14ac:dyDescent="0.25">
      <c r="A53" s="52">
        <v>42</v>
      </c>
      <c r="B53" s="57" t="s">
        <v>97</v>
      </c>
      <c r="C53" s="54" t="s">
        <v>98</v>
      </c>
      <c r="D53" s="55">
        <f t="shared" si="1"/>
        <v>1380</v>
      </c>
      <c r="E53" s="55">
        <v>1015</v>
      </c>
      <c r="F53" s="55">
        <v>318</v>
      </c>
      <c r="G53" s="55">
        <v>38</v>
      </c>
      <c r="H53" s="55">
        <v>2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5</v>
      </c>
      <c r="O53" s="55">
        <v>0</v>
      </c>
      <c r="P53" s="55">
        <v>0</v>
      </c>
      <c r="Q53" s="55">
        <v>1</v>
      </c>
      <c r="R53" s="55">
        <v>1</v>
      </c>
      <c r="S53" s="56"/>
    </row>
    <row r="54" spans="1:19" x14ac:dyDescent="0.25">
      <c r="A54" s="52">
        <v>43</v>
      </c>
      <c r="B54" s="58" t="s">
        <v>99</v>
      </c>
      <c r="C54" s="59" t="s">
        <v>100</v>
      </c>
      <c r="D54" s="55">
        <f t="shared" si="1"/>
        <v>30550</v>
      </c>
      <c r="E54" s="55">
        <v>28024</v>
      </c>
      <c r="F54" s="55">
        <v>995</v>
      </c>
      <c r="G54" s="55">
        <v>1158</v>
      </c>
      <c r="H54" s="55">
        <v>126</v>
      </c>
      <c r="I54" s="55">
        <v>0</v>
      </c>
      <c r="J54" s="55">
        <v>5</v>
      </c>
      <c r="K54" s="55">
        <v>13</v>
      </c>
      <c r="L54" s="55">
        <v>1</v>
      </c>
      <c r="M54" s="55">
        <v>6</v>
      </c>
      <c r="N54" s="55">
        <v>142</v>
      </c>
      <c r="O54" s="55">
        <v>6</v>
      </c>
      <c r="P54" s="55">
        <v>0</v>
      </c>
      <c r="Q54" s="55">
        <v>72</v>
      </c>
      <c r="R54" s="55">
        <v>2</v>
      </c>
      <c r="S54" s="56"/>
    </row>
    <row r="55" spans="1:19" x14ac:dyDescent="0.25">
      <c r="A55" s="52">
        <v>44</v>
      </c>
      <c r="B55" s="53" t="s">
        <v>101</v>
      </c>
      <c r="C55" s="54" t="s">
        <v>102</v>
      </c>
      <c r="D55" s="55">
        <f t="shared" si="1"/>
        <v>7669</v>
      </c>
      <c r="E55" s="55">
        <v>6154</v>
      </c>
      <c r="F55" s="55">
        <v>1220</v>
      </c>
      <c r="G55" s="55">
        <v>92</v>
      </c>
      <c r="H55" s="55">
        <v>173</v>
      </c>
      <c r="I55" s="55">
        <v>0</v>
      </c>
      <c r="J55" s="55">
        <v>0</v>
      </c>
      <c r="K55" s="55">
        <v>0</v>
      </c>
      <c r="L55" s="55">
        <v>0</v>
      </c>
      <c r="M55" s="55">
        <v>0</v>
      </c>
      <c r="N55" s="55">
        <v>14</v>
      </c>
      <c r="O55" s="55">
        <v>1</v>
      </c>
      <c r="P55" s="55">
        <v>0</v>
      </c>
      <c r="Q55" s="55">
        <v>15</v>
      </c>
      <c r="R55" s="55">
        <v>0</v>
      </c>
      <c r="S55" s="56"/>
    </row>
    <row r="56" spans="1:19" x14ac:dyDescent="0.25">
      <c r="A56" s="52">
        <v>45</v>
      </c>
      <c r="B56" s="53" t="s">
        <v>103</v>
      </c>
      <c r="C56" s="54" t="s">
        <v>104</v>
      </c>
      <c r="D56" s="55">
        <f t="shared" si="1"/>
        <v>11826</v>
      </c>
      <c r="E56" s="55">
        <v>11538</v>
      </c>
      <c r="F56" s="55">
        <v>94</v>
      </c>
      <c r="G56" s="55">
        <v>78</v>
      </c>
      <c r="H56" s="55">
        <v>9</v>
      </c>
      <c r="I56" s="55">
        <v>0</v>
      </c>
      <c r="J56" s="55">
        <v>0</v>
      </c>
      <c r="K56" s="55">
        <v>0</v>
      </c>
      <c r="L56" s="55">
        <v>1</v>
      </c>
      <c r="M56" s="55">
        <v>1</v>
      </c>
      <c r="N56" s="55">
        <v>7</v>
      </c>
      <c r="O56" s="55">
        <v>1</v>
      </c>
      <c r="P56" s="55">
        <v>0</v>
      </c>
      <c r="Q56" s="55">
        <v>83</v>
      </c>
      <c r="R56" s="55">
        <v>14</v>
      </c>
      <c r="S56" s="56"/>
    </row>
    <row r="57" spans="1:19" x14ac:dyDescent="0.25">
      <c r="A57" s="52">
        <v>46</v>
      </c>
      <c r="B57" s="58" t="s">
        <v>105</v>
      </c>
      <c r="C57" s="59" t="s">
        <v>106</v>
      </c>
      <c r="D57" s="55">
        <f t="shared" si="1"/>
        <v>6876</v>
      </c>
      <c r="E57" s="55">
        <v>6802</v>
      </c>
      <c r="F57" s="55">
        <v>1</v>
      </c>
      <c r="G57" s="55">
        <v>8</v>
      </c>
      <c r="H57" s="55">
        <v>29</v>
      </c>
      <c r="I57" s="55">
        <v>0</v>
      </c>
      <c r="J57" s="55">
        <v>1</v>
      </c>
      <c r="K57" s="55">
        <v>0</v>
      </c>
      <c r="L57" s="55">
        <v>0</v>
      </c>
      <c r="M57" s="55">
        <v>1</v>
      </c>
      <c r="N57" s="55">
        <v>3</v>
      </c>
      <c r="O57" s="55">
        <v>2</v>
      </c>
      <c r="P57" s="55">
        <v>9</v>
      </c>
      <c r="Q57" s="55">
        <v>18</v>
      </c>
      <c r="R57" s="55">
        <v>2</v>
      </c>
      <c r="S57" s="56"/>
    </row>
    <row r="58" spans="1:19" x14ac:dyDescent="0.25">
      <c r="A58" s="52">
        <v>47</v>
      </c>
      <c r="B58" s="58" t="s">
        <v>107</v>
      </c>
      <c r="C58" s="59" t="s">
        <v>108</v>
      </c>
      <c r="D58" s="55">
        <f t="shared" si="1"/>
        <v>10643</v>
      </c>
      <c r="E58" s="55">
        <v>9798</v>
      </c>
      <c r="F58" s="55">
        <v>427</v>
      </c>
      <c r="G58" s="55">
        <v>137</v>
      </c>
      <c r="H58" s="55">
        <v>227</v>
      </c>
      <c r="I58" s="55">
        <v>0</v>
      </c>
      <c r="J58" s="55">
        <v>3</v>
      </c>
      <c r="K58" s="55">
        <v>0</v>
      </c>
      <c r="L58" s="55">
        <v>0</v>
      </c>
      <c r="M58" s="55">
        <v>3</v>
      </c>
      <c r="N58" s="55">
        <v>11</v>
      </c>
      <c r="O58" s="55">
        <v>8</v>
      </c>
      <c r="P58" s="55">
        <v>3</v>
      </c>
      <c r="Q58" s="55">
        <v>26</v>
      </c>
      <c r="R58" s="55">
        <v>0</v>
      </c>
      <c r="S58" s="56"/>
    </row>
    <row r="59" spans="1:19" x14ac:dyDescent="0.25">
      <c r="A59" s="52">
        <v>48</v>
      </c>
      <c r="B59" s="57" t="s">
        <v>109</v>
      </c>
      <c r="C59" s="54" t="s">
        <v>110</v>
      </c>
      <c r="D59" s="55">
        <f t="shared" si="1"/>
        <v>10150</v>
      </c>
      <c r="E59" s="55">
        <v>9702</v>
      </c>
      <c r="F59" s="55">
        <v>119</v>
      </c>
      <c r="G59" s="55">
        <v>253</v>
      </c>
      <c r="H59" s="55">
        <v>36</v>
      </c>
      <c r="I59" s="55">
        <v>0</v>
      </c>
      <c r="J59" s="55">
        <v>0</v>
      </c>
      <c r="K59" s="55">
        <v>0</v>
      </c>
      <c r="L59" s="55">
        <v>0</v>
      </c>
      <c r="M59" s="55">
        <v>3</v>
      </c>
      <c r="N59" s="55">
        <v>6</v>
      </c>
      <c r="O59" s="55">
        <v>1</v>
      </c>
      <c r="P59" s="55">
        <v>0</v>
      </c>
      <c r="Q59" s="55">
        <v>30</v>
      </c>
      <c r="R59" s="55">
        <v>0</v>
      </c>
      <c r="S59" s="56"/>
    </row>
    <row r="60" spans="1:19" x14ac:dyDescent="0.25">
      <c r="A60" s="52">
        <v>49</v>
      </c>
      <c r="B60" s="58" t="s">
        <v>111</v>
      </c>
      <c r="C60" s="59" t="s">
        <v>112</v>
      </c>
      <c r="D60" s="55">
        <f t="shared" si="1"/>
        <v>3976</v>
      </c>
      <c r="E60" s="55">
        <v>2953</v>
      </c>
      <c r="F60" s="55">
        <v>168</v>
      </c>
      <c r="G60" s="55">
        <v>10</v>
      </c>
      <c r="H60" s="55">
        <v>35</v>
      </c>
      <c r="I60" s="55">
        <v>0</v>
      </c>
      <c r="J60" s="55">
        <v>0</v>
      </c>
      <c r="K60" s="55">
        <v>0</v>
      </c>
      <c r="L60" s="55">
        <v>0</v>
      </c>
      <c r="M60" s="55">
        <v>0</v>
      </c>
      <c r="N60" s="55">
        <v>796</v>
      </c>
      <c r="O60" s="55">
        <v>0</v>
      </c>
      <c r="P60" s="55">
        <v>0</v>
      </c>
      <c r="Q60" s="55">
        <v>14</v>
      </c>
      <c r="R60" s="55">
        <v>0</v>
      </c>
      <c r="S60" s="56"/>
    </row>
    <row r="61" spans="1:19" x14ac:dyDescent="0.25">
      <c r="A61" s="52">
        <v>50</v>
      </c>
      <c r="B61" s="57" t="s">
        <v>113</v>
      </c>
      <c r="C61" s="54" t="s">
        <v>114</v>
      </c>
      <c r="D61" s="55">
        <f t="shared" si="1"/>
        <v>5429</v>
      </c>
      <c r="E61" s="55">
        <v>5102</v>
      </c>
      <c r="F61" s="55">
        <v>164</v>
      </c>
      <c r="G61" s="55">
        <v>100</v>
      </c>
      <c r="H61" s="55">
        <v>32</v>
      </c>
      <c r="I61" s="55">
        <v>0</v>
      </c>
      <c r="J61" s="55">
        <v>0</v>
      </c>
      <c r="K61" s="55">
        <v>1</v>
      </c>
      <c r="L61" s="55">
        <v>0</v>
      </c>
      <c r="M61" s="55">
        <v>0</v>
      </c>
      <c r="N61" s="55">
        <v>24</v>
      </c>
      <c r="O61" s="55">
        <v>0</v>
      </c>
      <c r="P61" s="55">
        <v>0</v>
      </c>
      <c r="Q61" s="55">
        <v>6</v>
      </c>
      <c r="R61" s="55">
        <v>0</v>
      </c>
      <c r="S61" s="56"/>
    </row>
    <row r="62" spans="1:19" x14ac:dyDescent="0.25">
      <c r="A62" s="52">
        <v>51</v>
      </c>
      <c r="B62" s="58" t="s">
        <v>115</v>
      </c>
      <c r="C62" s="59" t="s">
        <v>116</v>
      </c>
      <c r="D62" s="55">
        <f t="shared" si="1"/>
        <v>12912</v>
      </c>
      <c r="E62" s="55">
        <v>11219</v>
      </c>
      <c r="F62" s="55">
        <v>1258</v>
      </c>
      <c r="G62" s="55">
        <v>243</v>
      </c>
      <c r="H62" s="55">
        <v>1</v>
      </c>
      <c r="I62" s="55">
        <v>0</v>
      </c>
      <c r="J62" s="55">
        <v>0</v>
      </c>
      <c r="K62" s="55">
        <v>5</v>
      </c>
      <c r="L62" s="55">
        <v>0</v>
      </c>
      <c r="M62" s="55">
        <v>4</v>
      </c>
      <c r="N62" s="55">
        <v>51</v>
      </c>
      <c r="O62" s="55">
        <v>2</v>
      </c>
      <c r="P62" s="55">
        <v>0</v>
      </c>
      <c r="Q62" s="55">
        <v>128</v>
      </c>
      <c r="R62" s="55">
        <v>1</v>
      </c>
      <c r="S62" s="56"/>
    </row>
    <row r="63" spans="1:19" x14ac:dyDescent="0.25">
      <c r="A63" s="52">
        <v>52</v>
      </c>
      <c r="B63" s="58" t="s">
        <v>117</v>
      </c>
      <c r="C63" s="59" t="s">
        <v>118</v>
      </c>
      <c r="D63" s="55">
        <f t="shared" si="1"/>
        <v>35668</v>
      </c>
      <c r="E63" s="55">
        <v>33912</v>
      </c>
      <c r="F63" s="55">
        <v>1014</v>
      </c>
      <c r="G63" s="55">
        <v>596</v>
      </c>
      <c r="H63" s="55">
        <v>1</v>
      </c>
      <c r="I63" s="55">
        <v>0</v>
      </c>
      <c r="J63" s="55">
        <v>0</v>
      </c>
      <c r="K63" s="55">
        <v>0</v>
      </c>
      <c r="L63" s="55">
        <v>2</v>
      </c>
      <c r="M63" s="55">
        <v>2</v>
      </c>
      <c r="N63" s="55">
        <v>4</v>
      </c>
      <c r="O63" s="55">
        <v>11</v>
      </c>
      <c r="P63" s="55">
        <v>0</v>
      </c>
      <c r="Q63" s="55">
        <v>126</v>
      </c>
      <c r="R63" s="55">
        <v>0</v>
      </c>
      <c r="S63" s="56"/>
    </row>
    <row r="64" spans="1:19" x14ac:dyDescent="0.25">
      <c r="A64" s="52">
        <v>53</v>
      </c>
      <c r="B64" s="58" t="s">
        <v>119</v>
      </c>
      <c r="C64" s="59" t="s">
        <v>120</v>
      </c>
      <c r="D64" s="55">
        <f t="shared" si="1"/>
        <v>5969</v>
      </c>
      <c r="E64" s="55">
        <v>5866</v>
      </c>
      <c r="F64" s="55">
        <v>22</v>
      </c>
      <c r="G64" s="55">
        <v>56</v>
      </c>
      <c r="H64" s="55">
        <v>2</v>
      </c>
      <c r="I64" s="55">
        <v>0</v>
      </c>
      <c r="J64" s="55">
        <v>0</v>
      </c>
      <c r="K64" s="55">
        <v>3</v>
      </c>
      <c r="L64" s="55">
        <v>1</v>
      </c>
      <c r="M64" s="55">
        <v>0</v>
      </c>
      <c r="N64" s="55">
        <v>9</v>
      </c>
      <c r="O64" s="55">
        <v>1</v>
      </c>
      <c r="P64" s="55">
        <v>0</v>
      </c>
      <c r="Q64" s="55">
        <v>9</v>
      </c>
      <c r="R64" s="55">
        <v>0</v>
      </c>
      <c r="S64" s="56"/>
    </row>
    <row r="65" spans="1:19" x14ac:dyDescent="0.25">
      <c r="A65" s="52">
        <v>54</v>
      </c>
      <c r="B65" s="58" t="s">
        <v>121</v>
      </c>
      <c r="C65" s="59" t="s">
        <v>122</v>
      </c>
      <c r="D65" s="55">
        <f t="shared" si="1"/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K65" s="55">
        <v>0</v>
      </c>
      <c r="L65" s="55">
        <v>0</v>
      </c>
      <c r="M65" s="55">
        <v>0</v>
      </c>
      <c r="N65" s="55">
        <v>0</v>
      </c>
      <c r="O65" s="55">
        <v>0</v>
      </c>
      <c r="P65" s="55">
        <v>0</v>
      </c>
      <c r="Q65" s="55">
        <v>0</v>
      </c>
      <c r="R65" s="55">
        <v>0</v>
      </c>
      <c r="S65" s="56"/>
    </row>
    <row r="66" spans="1:19" x14ac:dyDescent="0.25">
      <c r="A66" s="52">
        <v>55</v>
      </c>
      <c r="B66" s="58" t="s">
        <v>123</v>
      </c>
      <c r="C66" s="59" t="s">
        <v>124</v>
      </c>
      <c r="D66" s="55">
        <f t="shared" si="1"/>
        <v>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K66" s="55">
        <v>0</v>
      </c>
      <c r="L66" s="55">
        <v>0</v>
      </c>
      <c r="M66" s="55">
        <v>0</v>
      </c>
      <c r="N66" s="55">
        <v>0</v>
      </c>
      <c r="O66" s="55">
        <v>0</v>
      </c>
      <c r="P66" s="55">
        <v>0</v>
      </c>
      <c r="Q66" s="55">
        <v>0</v>
      </c>
      <c r="R66" s="55">
        <v>0</v>
      </c>
      <c r="S66" s="56"/>
    </row>
    <row r="67" spans="1:19" x14ac:dyDescent="0.25">
      <c r="A67" s="52">
        <v>56</v>
      </c>
      <c r="B67" s="14" t="s">
        <v>125</v>
      </c>
      <c r="C67" s="15" t="s">
        <v>126</v>
      </c>
      <c r="D67" s="55">
        <f t="shared" si="1"/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K67" s="55">
        <v>0</v>
      </c>
      <c r="L67" s="55">
        <v>0</v>
      </c>
      <c r="M67" s="55">
        <v>0</v>
      </c>
      <c r="N67" s="55">
        <v>0</v>
      </c>
      <c r="O67" s="55">
        <v>0</v>
      </c>
      <c r="P67" s="55">
        <v>0</v>
      </c>
      <c r="Q67" s="55">
        <v>0</v>
      </c>
      <c r="R67" s="55">
        <v>0</v>
      </c>
      <c r="S67" s="56"/>
    </row>
    <row r="68" spans="1:19" ht="24" x14ac:dyDescent="0.25">
      <c r="A68" s="52">
        <v>57</v>
      </c>
      <c r="B68" s="58" t="s">
        <v>127</v>
      </c>
      <c r="C68" s="59" t="s">
        <v>128</v>
      </c>
      <c r="D68" s="55">
        <f t="shared" si="1"/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K68" s="55">
        <v>0</v>
      </c>
      <c r="L68" s="55">
        <v>0</v>
      </c>
      <c r="M68" s="55">
        <v>0</v>
      </c>
      <c r="N68" s="55">
        <v>0</v>
      </c>
      <c r="O68" s="55">
        <v>0</v>
      </c>
      <c r="P68" s="55">
        <v>0</v>
      </c>
      <c r="Q68" s="55">
        <v>0</v>
      </c>
      <c r="R68" s="55">
        <v>0</v>
      </c>
      <c r="S68" s="56"/>
    </row>
    <row r="69" spans="1:19" ht="24" x14ac:dyDescent="0.25">
      <c r="A69" s="52">
        <v>58</v>
      </c>
      <c r="B69" s="57" t="s">
        <v>129</v>
      </c>
      <c r="C69" s="59" t="s">
        <v>130</v>
      </c>
      <c r="D69" s="55">
        <f t="shared" si="1"/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K69" s="55">
        <v>0</v>
      </c>
      <c r="L69" s="55">
        <v>0</v>
      </c>
      <c r="M69" s="55">
        <v>0</v>
      </c>
      <c r="N69" s="55">
        <v>0</v>
      </c>
      <c r="O69" s="55">
        <v>0</v>
      </c>
      <c r="P69" s="55">
        <v>0</v>
      </c>
      <c r="Q69" s="55">
        <v>0</v>
      </c>
      <c r="R69" s="55">
        <v>0</v>
      </c>
      <c r="S69" s="56"/>
    </row>
    <row r="70" spans="1:19" ht="24" x14ac:dyDescent="0.25">
      <c r="A70" s="52">
        <v>59</v>
      </c>
      <c r="B70" s="60" t="s">
        <v>131</v>
      </c>
      <c r="C70" s="61" t="s">
        <v>132</v>
      </c>
      <c r="D70" s="55">
        <f t="shared" si="1"/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K70" s="55">
        <v>0</v>
      </c>
      <c r="L70" s="55">
        <v>0</v>
      </c>
      <c r="M70" s="55">
        <v>0</v>
      </c>
      <c r="N70" s="55">
        <v>0</v>
      </c>
      <c r="O70" s="55">
        <v>0</v>
      </c>
      <c r="P70" s="55">
        <v>0</v>
      </c>
      <c r="Q70" s="55">
        <v>0</v>
      </c>
      <c r="R70" s="55">
        <v>0</v>
      </c>
      <c r="S70" s="56"/>
    </row>
    <row r="71" spans="1:19" ht="24" x14ac:dyDescent="0.25">
      <c r="A71" s="52">
        <v>60</v>
      </c>
      <c r="B71" s="57" t="s">
        <v>133</v>
      </c>
      <c r="C71" s="59" t="s">
        <v>134</v>
      </c>
      <c r="D71" s="55">
        <f t="shared" si="1"/>
        <v>0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K71" s="55">
        <v>0</v>
      </c>
      <c r="L71" s="55">
        <v>0</v>
      </c>
      <c r="M71" s="55">
        <v>0</v>
      </c>
      <c r="N71" s="55">
        <v>0</v>
      </c>
      <c r="O71" s="55">
        <v>0</v>
      </c>
      <c r="P71" s="55">
        <v>0</v>
      </c>
      <c r="Q71" s="55">
        <v>0</v>
      </c>
      <c r="R71" s="55">
        <v>0</v>
      </c>
      <c r="S71" s="56"/>
    </row>
    <row r="72" spans="1:19" ht="24" x14ac:dyDescent="0.25">
      <c r="A72" s="52">
        <v>61</v>
      </c>
      <c r="B72" s="58" t="s">
        <v>135</v>
      </c>
      <c r="C72" s="59" t="s">
        <v>136</v>
      </c>
      <c r="D72" s="55">
        <f t="shared" si="1"/>
        <v>0</v>
      </c>
      <c r="E72" s="55">
        <v>0</v>
      </c>
      <c r="F72" s="55">
        <v>0</v>
      </c>
      <c r="G72" s="55">
        <v>0</v>
      </c>
      <c r="H72" s="55">
        <v>0</v>
      </c>
      <c r="I72" s="55">
        <v>0</v>
      </c>
      <c r="J72" s="55">
        <v>0</v>
      </c>
      <c r="K72" s="55">
        <v>0</v>
      </c>
      <c r="L72" s="55">
        <v>0</v>
      </c>
      <c r="M72" s="55">
        <v>0</v>
      </c>
      <c r="N72" s="55">
        <v>0</v>
      </c>
      <c r="O72" s="55">
        <v>0</v>
      </c>
      <c r="P72" s="55">
        <v>0</v>
      </c>
      <c r="Q72" s="55">
        <v>0</v>
      </c>
      <c r="R72" s="55">
        <v>0</v>
      </c>
      <c r="S72" s="56"/>
    </row>
    <row r="73" spans="1:19" ht="24" x14ac:dyDescent="0.25">
      <c r="A73" s="52">
        <v>62</v>
      </c>
      <c r="B73" s="53" t="s">
        <v>137</v>
      </c>
      <c r="C73" s="59" t="s">
        <v>138</v>
      </c>
      <c r="D73" s="55">
        <f t="shared" si="1"/>
        <v>0</v>
      </c>
      <c r="E73" s="55">
        <v>0</v>
      </c>
      <c r="F73" s="55">
        <v>0</v>
      </c>
      <c r="G73" s="55">
        <v>0</v>
      </c>
      <c r="H73" s="55">
        <v>0</v>
      </c>
      <c r="I73" s="55">
        <v>0</v>
      </c>
      <c r="J73" s="55">
        <v>0</v>
      </c>
      <c r="K73" s="55">
        <v>0</v>
      </c>
      <c r="L73" s="55">
        <v>0</v>
      </c>
      <c r="M73" s="55">
        <v>0</v>
      </c>
      <c r="N73" s="55">
        <v>0</v>
      </c>
      <c r="O73" s="55">
        <v>0</v>
      </c>
      <c r="P73" s="55">
        <v>0</v>
      </c>
      <c r="Q73" s="55">
        <v>0</v>
      </c>
      <c r="R73" s="55">
        <v>0</v>
      </c>
      <c r="S73" s="56"/>
    </row>
    <row r="74" spans="1:19" ht="24" x14ac:dyDescent="0.25">
      <c r="A74" s="52">
        <v>63</v>
      </c>
      <c r="B74" s="53" t="s">
        <v>139</v>
      </c>
      <c r="C74" s="59" t="s">
        <v>140</v>
      </c>
      <c r="D74" s="55">
        <f t="shared" si="1"/>
        <v>0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6"/>
    </row>
    <row r="75" spans="1:19" x14ac:dyDescent="0.25">
      <c r="A75" s="52">
        <v>64</v>
      </c>
      <c r="B75" s="57" t="s">
        <v>141</v>
      </c>
      <c r="C75" s="59" t="s">
        <v>142</v>
      </c>
      <c r="D75" s="55">
        <f t="shared" si="1"/>
        <v>26470</v>
      </c>
      <c r="E75" s="55">
        <v>23465</v>
      </c>
      <c r="F75" s="55">
        <v>1388</v>
      </c>
      <c r="G75" s="55">
        <v>1256</v>
      </c>
      <c r="H75" s="55">
        <v>59</v>
      </c>
      <c r="I75" s="55">
        <v>0</v>
      </c>
      <c r="J75" s="55">
        <v>4</v>
      </c>
      <c r="K75" s="55">
        <v>3</v>
      </c>
      <c r="L75" s="55">
        <v>0</v>
      </c>
      <c r="M75" s="55">
        <v>10</v>
      </c>
      <c r="N75" s="55">
        <v>87</v>
      </c>
      <c r="O75" s="55">
        <v>0</v>
      </c>
      <c r="P75" s="55">
        <v>0</v>
      </c>
      <c r="Q75" s="55">
        <v>189</v>
      </c>
      <c r="R75" s="55">
        <v>9</v>
      </c>
      <c r="S75" s="56"/>
    </row>
    <row r="76" spans="1:19" x14ac:dyDescent="0.25">
      <c r="A76" s="52">
        <v>65</v>
      </c>
      <c r="B76" s="57" t="s">
        <v>143</v>
      </c>
      <c r="C76" s="54" t="s">
        <v>144</v>
      </c>
      <c r="D76" s="55">
        <f t="shared" si="1"/>
        <v>30027</v>
      </c>
      <c r="E76" s="55">
        <v>27108</v>
      </c>
      <c r="F76" s="55">
        <v>2029</v>
      </c>
      <c r="G76" s="55">
        <v>388</v>
      </c>
      <c r="H76" s="55">
        <v>71</v>
      </c>
      <c r="I76" s="55">
        <v>0</v>
      </c>
      <c r="J76" s="55">
        <v>0</v>
      </c>
      <c r="K76" s="55">
        <v>6</v>
      </c>
      <c r="L76" s="55">
        <v>0</v>
      </c>
      <c r="M76" s="55">
        <v>10</v>
      </c>
      <c r="N76" s="55">
        <v>234</v>
      </c>
      <c r="O76" s="55">
        <v>0</v>
      </c>
      <c r="P76" s="55">
        <v>181</v>
      </c>
      <c r="Q76" s="55">
        <v>0</v>
      </c>
      <c r="R76" s="55">
        <v>0</v>
      </c>
      <c r="S76" s="56"/>
    </row>
    <row r="77" spans="1:19" x14ac:dyDescent="0.25">
      <c r="A77" s="52">
        <v>66</v>
      </c>
      <c r="B77" s="57" t="s">
        <v>145</v>
      </c>
      <c r="C77" s="59" t="s">
        <v>146</v>
      </c>
      <c r="D77" s="55">
        <f t="shared" ref="D77:D140" si="2">SUM(E77:R77)</f>
        <v>42131</v>
      </c>
      <c r="E77" s="55">
        <v>37165</v>
      </c>
      <c r="F77" s="55">
        <v>3105</v>
      </c>
      <c r="G77" s="55">
        <v>497</v>
      </c>
      <c r="H77" s="55">
        <v>710</v>
      </c>
      <c r="I77" s="55">
        <v>0</v>
      </c>
      <c r="J77" s="55">
        <v>0</v>
      </c>
      <c r="K77" s="55">
        <v>46</v>
      </c>
      <c r="L77" s="55">
        <v>3</v>
      </c>
      <c r="M77" s="55">
        <v>24</v>
      </c>
      <c r="N77" s="55">
        <v>147</v>
      </c>
      <c r="O77" s="55">
        <v>0</v>
      </c>
      <c r="P77" s="55">
        <v>199</v>
      </c>
      <c r="Q77" s="55">
        <v>235</v>
      </c>
      <c r="R77" s="55">
        <v>0</v>
      </c>
      <c r="S77" s="56"/>
    </row>
    <row r="78" spans="1:19" ht="24" x14ac:dyDescent="0.25">
      <c r="A78" s="52">
        <v>67</v>
      </c>
      <c r="B78" s="57" t="s">
        <v>147</v>
      </c>
      <c r="C78" s="59" t="s">
        <v>148</v>
      </c>
      <c r="D78" s="55">
        <f t="shared" si="2"/>
        <v>7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K78" s="55">
        <v>0</v>
      </c>
      <c r="L78" s="55">
        <v>0</v>
      </c>
      <c r="M78" s="55">
        <v>0</v>
      </c>
      <c r="N78" s="55">
        <v>0</v>
      </c>
      <c r="O78" s="55">
        <v>7</v>
      </c>
      <c r="P78" s="55">
        <v>0</v>
      </c>
      <c r="Q78" s="55">
        <v>0</v>
      </c>
      <c r="R78" s="55">
        <v>0</v>
      </c>
      <c r="S78" s="56"/>
    </row>
    <row r="79" spans="1:19" ht="24" x14ac:dyDescent="0.25">
      <c r="A79" s="52">
        <v>68</v>
      </c>
      <c r="B79" s="53" t="s">
        <v>149</v>
      </c>
      <c r="C79" s="59" t="s">
        <v>150</v>
      </c>
      <c r="D79" s="55">
        <f t="shared" si="2"/>
        <v>8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1</v>
      </c>
      <c r="K79" s="55">
        <v>0</v>
      </c>
      <c r="L79" s="55">
        <v>0</v>
      </c>
      <c r="M79" s="55">
        <v>0</v>
      </c>
      <c r="N79" s="55">
        <v>0</v>
      </c>
      <c r="O79" s="55">
        <v>7</v>
      </c>
      <c r="P79" s="55">
        <v>0</v>
      </c>
      <c r="Q79" s="55">
        <v>0</v>
      </c>
      <c r="R79" s="55">
        <v>0</v>
      </c>
      <c r="S79" s="56"/>
    </row>
    <row r="80" spans="1:19" ht="24" x14ac:dyDescent="0.25">
      <c r="A80" s="52">
        <v>69</v>
      </c>
      <c r="B80" s="57" t="s">
        <v>151</v>
      </c>
      <c r="C80" s="59" t="s">
        <v>152</v>
      </c>
      <c r="D80" s="55">
        <f t="shared" si="2"/>
        <v>12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K80" s="55">
        <v>0</v>
      </c>
      <c r="L80" s="55">
        <v>0</v>
      </c>
      <c r="M80" s="55">
        <v>0</v>
      </c>
      <c r="N80" s="55">
        <v>0</v>
      </c>
      <c r="O80" s="55">
        <v>12</v>
      </c>
      <c r="P80" s="55">
        <v>0</v>
      </c>
      <c r="Q80" s="55">
        <v>0</v>
      </c>
      <c r="R80" s="55">
        <v>0</v>
      </c>
      <c r="S80" s="56"/>
    </row>
    <row r="81" spans="1:19" ht="24" x14ac:dyDescent="0.25">
      <c r="A81" s="52">
        <v>70</v>
      </c>
      <c r="B81" s="57" t="s">
        <v>153</v>
      </c>
      <c r="C81" s="59" t="s">
        <v>154</v>
      </c>
      <c r="D81" s="55">
        <f t="shared" si="2"/>
        <v>19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K81" s="55">
        <v>0</v>
      </c>
      <c r="L81" s="55">
        <v>0</v>
      </c>
      <c r="M81" s="55">
        <v>0</v>
      </c>
      <c r="N81" s="55">
        <v>0</v>
      </c>
      <c r="O81" s="55">
        <v>19</v>
      </c>
      <c r="P81" s="55">
        <v>0</v>
      </c>
      <c r="Q81" s="55">
        <v>0</v>
      </c>
      <c r="R81" s="55">
        <v>0</v>
      </c>
      <c r="S81" s="56"/>
    </row>
    <row r="82" spans="1:19" ht="24" x14ac:dyDescent="0.25">
      <c r="A82" s="52">
        <v>71</v>
      </c>
      <c r="B82" s="53" t="s">
        <v>155</v>
      </c>
      <c r="C82" s="59" t="s">
        <v>156</v>
      </c>
      <c r="D82" s="55">
        <f t="shared" si="2"/>
        <v>0</v>
      </c>
      <c r="E82" s="55">
        <v>0</v>
      </c>
      <c r="F82" s="55">
        <v>0</v>
      </c>
      <c r="G82" s="55">
        <v>0</v>
      </c>
      <c r="H82" s="55">
        <v>0</v>
      </c>
      <c r="I82" s="55">
        <v>0</v>
      </c>
      <c r="J82" s="55">
        <v>0</v>
      </c>
      <c r="K82" s="55">
        <v>0</v>
      </c>
      <c r="L82" s="55">
        <v>0</v>
      </c>
      <c r="M82" s="55">
        <v>0</v>
      </c>
      <c r="N82" s="55">
        <v>0</v>
      </c>
      <c r="O82" s="55">
        <v>0</v>
      </c>
      <c r="P82" s="55">
        <v>0</v>
      </c>
      <c r="Q82" s="55">
        <v>0</v>
      </c>
      <c r="R82" s="55">
        <v>0</v>
      </c>
      <c r="S82" s="56"/>
    </row>
    <row r="83" spans="1:19" ht="24" x14ac:dyDescent="0.25">
      <c r="A83" s="52">
        <v>72</v>
      </c>
      <c r="B83" s="53" t="s">
        <v>157</v>
      </c>
      <c r="C83" s="59" t="s">
        <v>158</v>
      </c>
      <c r="D83" s="55">
        <f t="shared" si="2"/>
        <v>10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v>0</v>
      </c>
      <c r="L83" s="55">
        <v>0</v>
      </c>
      <c r="M83" s="55">
        <v>0</v>
      </c>
      <c r="N83" s="55">
        <v>0</v>
      </c>
      <c r="O83" s="55">
        <v>10</v>
      </c>
      <c r="P83" s="55">
        <v>0</v>
      </c>
      <c r="Q83" s="55">
        <v>0</v>
      </c>
      <c r="R83" s="55">
        <v>0</v>
      </c>
      <c r="S83" s="56"/>
    </row>
    <row r="84" spans="1:19" ht="24" x14ac:dyDescent="0.25">
      <c r="A84" s="52">
        <v>73</v>
      </c>
      <c r="B84" s="53" t="s">
        <v>159</v>
      </c>
      <c r="C84" s="59" t="s">
        <v>160</v>
      </c>
      <c r="D84" s="55">
        <f t="shared" si="2"/>
        <v>0</v>
      </c>
      <c r="E84" s="55">
        <v>0</v>
      </c>
      <c r="F84" s="55">
        <v>0</v>
      </c>
      <c r="G84" s="55">
        <v>0</v>
      </c>
      <c r="H84" s="55">
        <v>0</v>
      </c>
      <c r="I84" s="55">
        <v>0</v>
      </c>
      <c r="J84" s="55">
        <v>0</v>
      </c>
      <c r="K84" s="55">
        <v>0</v>
      </c>
      <c r="L84" s="55">
        <v>0</v>
      </c>
      <c r="M84" s="55">
        <v>0</v>
      </c>
      <c r="N84" s="55">
        <v>0</v>
      </c>
      <c r="O84" s="55">
        <v>0</v>
      </c>
      <c r="P84" s="55">
        <v>0</v>
      </c>
      <c r="Q84" s="55">
        <v>0</v>
      </c>
      <c r="R84" s="55">
        <v>0</v>
      </c>
      <c r="S84" s="56"/>
    </row>
    <row r="85" spans="1:19" x14ac:dyDescent="0.25">
      <c r="A85" s="52">
        <v>74</v>
      </c>
      <c r="B85" s="58" t="s">
        <v>161</v>
      </c>
      <c r="C85" s="59" t="s">
        <v>162</v>
      </c>
      <c r="D85" s="55">
        <f t="shared" si="2"/>
        <v>25904</v>
      </c>
      <c r="E85" s="55">
        <v>22627</v>
      </c>
      <c r="F85" s="55">
        <v>1453</v>
      </c>
      <c r="G85" s="55">
        <v>1012</v>
      </c>
      <c r="H85" s="55">
        <v>424</v>
      </c>
      <c r="I85" s="55">
        <v>0</v>
      </c>
      <c r="J85" s="55">
        <v>0</v>
      </c>
      <c r="K85" s="55">
        <v>40</v>
      </c>
      <c r="L85" s="55">
        <v>4</v>
      </c>
      <c r="M85" s="55">
        <v>1</v>
      </c>
      <c r="N85" s="55">
        <v>65</v>
      </c>
      <c r="O85" s="55">
        <v>3</v>
      </c>
      <c r="P85" s="55">
        <v>0</v>
      </c>
      <c r="Q85" s="55">
        <v>274</v>
      </c>
      <c r="R85" s="55">
        <v>1</v>
      </c>
      <c r="S85" s="56"/>
    </row>
    <row r="86" spans="1:19" x14ac:dyDescent="0.25">
      <c r="A86" s="52">
        <v>75</v>
      </c>
      <c r="B86" s="53" t="s">
        <v>163</v>
      </c>
      <c r="C86" s="59" t="s">
        <v>164</v>
      </c>
      <c r="D86" s="55">
        <f t="shared" si="2"/>
        <v>37113</v>
      </c>
      <c r="E86" s="55">
        <v>29964</v>
      </c>
      <c r="F86" s="55">
        <v>4660</v>
      </c>
      <c r="G86" s="55">
        <v>1231</v>
      </c>
      <c r="H86" s="55">
        <v>520</v>
      </c>
      <c r="I86" s="55">
        <v>1</v>
      </c>
      <c r="J86" s="55">
        <v>1</v>
      </c>
      <c r="K86" s="55">
        <v>15</v>
      </c>
      <c r="L86" s="55">
        <v>2</v>
      </c>
      <c r="M86" s="55">
        <v>34</v>
      </c>
      <c r="N86" s="55">
        <v>327</v>
      </c>
      <c r="O86" s="55">
        <v>0</v>
      </c>
      <c r="P86" s="55">
        <v>18</v>
      </c>
      <c r="Q86" s="55">
        <v>281</v>
      </c>
      <c r="R86" s="55">
        <v>59</v>
      </c>
      <c r="S86" s="56"/>
    </row>
    <row r="87" spans="1:19" x14ac:dyDescent="0.25">
      <c r="A87" s="52">
        <v>76</v>
      </c>
      <c r="B87" s="58" t="s">
        <v>165</v>
      </c>
      <c r="C87" s="59" t="s">
        <v>166</v>
      </c>
      <c r="D87" s="55">
        <f t="shared" si="2"/>
        <v>31971</v>
      </c>
      <c r="E87" s="55">
        <v>28302</v>
      </c>
      <c r="F87" s="55">
        <v>1137</v>
      </c>
      <c r="G87" s="55">
        <v>1966</v>
      </c>
      <c r="H87" s="55">
        <v>291</v>
      </c>
      <c r="I87" s="55">
        <v>1</v>
      </c>
      <c r="J87" s="55">
        <v>0</v>
      </c>
      <c r="K87" s="55">
        <v>13</v>
      </c>
      <c r="L87" s="55">
        <v>2</v>
      </c>
      <c r="M87" s="55">
        <v>1</v>
      </c>
      <c r="N87" s="55">
        <v>130</v>
      </c>
      <c r="O87" s="55">
        <v>9</v>
      </c>
      <c r="P87" s="55">
        <v>0</v>
      </c>
      <c r="Q87" s="55">
        <v>112</v>
      </c>
      <c r="R87" s="55">
        <v>7</v>
      </c>
      <c r="S87" s="56"/>
    </row>
    <row r="88" spans="1:19" x14ac:dyDescent="0.25">
      <c r="A88" s="52">
        <v>77</v>
      </c>
      <c r="B88" s="60" t="s">
        <v>167</v>
      </c>
      <c r="C88" s="61" t="s">
        <v>168</v>
      </c>
      <c r="D88" s="55">
        <f t="shared" si="2"/>
        <v>7895</v>
      </c>
      <c r="E88" s="55">
        <v>7522</v>
      </c>
      <c r="F88" s="55">
        <v>49</v>
      </c>
      <c r="G88" s="55">
        <v>150</v>
      </c>
      <c r="H88" s="55">
        <v>27</v>
      </c>
      <c r="I88" s="55">
        <v>0</v>
      </c>
      <c r="J88" s="55">
        <v>1</v>
      </c>
      <c r="K88" s="55">
        <v>13</v>
      </c>
      <c r="L88" s="55">
        <v>0</v>
      </c>
      <c r="M88" s="55">
        <v>0</v>
      </c>
      <c r="N88" s="55">
        <v>0</v>
      </c>
      <c r="O88" s="55">
        <v>13</v>
      </c>
      <c r="P88" s="55">
        <v>0</v>
      </c>
      <c r="Q88" s="55">
        <v>120</v>
      </c>
      <c r="R88" s="55">
        <v>0</v>
      </c>
      <c r="S88" s="56"/>
    </row>
    <row r="89" spans="1:19" x14ac:dyDescent="0.25">
      <c r="A89" s="52">
        <v>78</v>
      </c>
      <c r="B89" s="53" t="s">
        <v>169</v>
      </c>
      <c r="C89" s="59" t="s">
        <v>170</v>
      </c>
      <c r="D89" s="55">
        <f t="shared" si="2"/>
        <v>58440</v>
      </c>
      <c r="E89" s="55">
        <v>52894</v>
      </c>
      <c r="F89" s="55">
        <v>4321</v>
      </c>
      <c r="G89" s="55">
        <v>640</v>
      </c>
      <c r="H89" s="55">
        <v>221</v>
      </c>
      <c r="I89" s="55">
        <v>0</v>
      </c>
      <c r="J89" s="55">
        <v>0</v>
      </c>
      <c r="K89" s="55">
        <v>9</v>
      </c>
      <c r="L89" s="55">
        <v>10</v>
      </c>
      <c r="M89" s="55">
        <v>1</v>
      </c>
      <c r="N89" s="55">
        <v>116</v>
      </c>
      <c r="O89" s="55">
        <v>8</v>
      </c>
      <c r="P89" s="55">
        <v>0</v>
      </c>
      <c r="Q89" s="55">
        <v>177</v>
      </c>
      <c r="R89" s="55">
        <v>43</v>
      </c>
      <c r="S89" s="56"/>
    </row>
    <row r="90" spans="1:19" x14ac:dyDescent="0.25">
      <c r="A90" s="52">
        <v>79</v>
      </c>
      <c r="B90" s="60" t="s">
        <v>171</v>
      </c>
      <c r="C90" s="61" t="s">
        <v>172</v>
      </c>
      <c r="D90" s="55">
        <f t="shared" si="2"/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K90" s="55">
        <v>0</v>
      </c>
      <c r="L90" s="55">
        <v>0</v>
      </c>
      <c r="M90" s="55">
        <v>0</v>
      </c>
      <c r="N90" s="55">
        <v>0</v>
      </c>
      <c r="O90" s="55">
        <v>0</v>
      </c>
      <c r="P90" s="55">
        <v>0</v>
      </c>
      <c r="Q90" s="55">
        <v>0</v>
      </c>
      <c r="R90" s="55">
        <v>0</v>
      </c>
      <c r="S90" s="56"/>
    </row>
    <row r="91" spans="1:19" x14ac:dyDescent="0.25">
      <c r="A91" s="52">
        <v>80</v>
      </c>
      <c r="B91" s="53" t="s">
        <v>173</v>
      </c>
      <c r="C91" s="59" t="s">
        <v>174</v>
      </c>
      <c r="D91" s="55">
        <f t="shared" si="2"/>
        <v>37572</v>
      </c>
      <c r="E91" s="55">
        <v>32003</v>
      </c>
      <c r="F91" s="55">
        <v>4187</v>
      </c>
      <c r="G91" s="55">
        <v>920</v>
      </c>
      <c r="H91" s="55">
        <v>124</v>
      </c>
      <c r="I91" s="55">
        <v>0</v>
      </c>
      <c r="J91" s="55">
        <v>0</v>
      </c>
      <c r="K91" s="55">
        <v>22</v>
      </c>
      <c r="L91" s="55">
        <v>1</v>
      </c>
      <c r="M91" s="55">
        <v>2</v>
      </c>
      <c r="N91" s="55">
        <v>143</v>
      </c>
      <c r="O91" s="55">
        <v>2</v>
      </c>
      <c r="P91" s="55">
        <v>46</v>
      </c>
      <c r="Q91" s="55">
        <v>91</v>
      </c>
      <c r="R91" s="55">
        <v>31</v>
      </c>
      <c r="S91" s="56"/>
    </row>
    <row r="92" spans="1:19" x14ac:dyDescent="0.25">
      <c r="A92" s="52">
        <v>81</v>
      </c>
      <c r="B92" s="60" t="s">
        <v>175</v>
      </c>
      <c r="C92" s="1" t="s">
        <v>754</v>
      </c>
      <c r="D92" s="55">
        <f t="shared" si="2"/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55">
        <v>0</v>
      </c>
      <c r="S92" s="56"/>
    </row>
    <row r="93" spans="1:19" x14ac:dyDescent="0.25">
      <c r="A93" s="52">
        <v>82</v>
      </c>
      <c r="B93" s="57" t="s">
        <v>177</v>
      </c>
      <c r="C93" s="59" t="s">
        <v>378</v>
      </c>
      <c r="D93" s="55">
        <f t="shared" si="2"/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K93" s="55">
        <v>0</v>
      </c>
      <c r="L93" s="55">
        <v>0</v>
      </c>
      <c r="M93" s="55">
        <v>0</v>
      </c>
      <c r="N93" s="55">
        <v>0</v>
      </c>
      <c r="O93" s="55">
        <v>0</v>
      </c>
      <c r="P93" s="55">
        <v>0</v>
      </c>
      <c r="Q93" s="55">
        <v>0</v>
      </c>
      <c r="R93" s="55">
        <v>0</v>
      </c>
      <c r="S93" s="56"/>
    </row>
    <row r="94" spans="1:19" ht="48" x14ac:dyDescent="0.25">
      <c r="A94" s="1085">
        <v>83</v>
      </c>
      <c r="B94" s="1088" t="s">
        <v>178</v>
      </c>
      <c r="C94" s="61" t="s">
        <v>752</v>
      </c>
      <c r="D94" s="55">
        <f t="shared" si="2"/>
        <v>194</v>
      </c>
      <c r="E94" s="55">
        <v>154</v>
      </c>
      <c r="F94" s="55">
        <v>38</v>
      </c>
      <c r="G94" s="55">
        <v>0</v>
      </c>
      <c r="H94" s="55">
        <v>0</v>
      </c>
      <c r="I94" s="55">
        <v>0</v>
      </c>
      <c r="J94" s="55">
        <v>0</v>
      </c>
      <c r="K94" s="55">
        <v>0</v>
      </c>
      <c r="L94" s="55">
        <v>0</v>
      </c>
      <c r="M94" s="55">
        <v>0</v>
      </c>
      <c r="N94" s="55">
        <v>0</v>
      </c>
      <c r="O94" s="55">
        <v>0</v>
      </c>
      <c r="P94" s="55">
        <v>0</v>
      </c>
      <c r="Q94" s="55">
        <v>2</v>
      </c>
      <c r="R94" s="55">
        <v>0</v>
      </c>
      <c r="S94" s="56"/>
    </row>
    <row r="95" spans="1:19" ht="24" x14ac:dyDescent="0.25">
      <c r="A95" s="1086"/>
      <c r="B95" s="1089"/>
      <c r="C95" s="59" t="s">
        <v>180</v>
      </c>
      <c r="D95" s="55">
        <f t="shared" si="2"/>
        <v>0</v>
      </c>
      <c r="E95" s="55">
        <v>0</v>
      </c>
      <c r="F95" s="55">
        <v>0</v>
      </c>
      <c r="G95" s="55">
        <v>0</v>
      </c>
      <c r="H95" s="55">
        <v>0</v>
      </c>
      <c r="I95" s="55">
        <v>0</v>
      </c>
      <c r="J95" s="55">
        <v>0</v>
      </c>
      <c r="K95" s="55">
        <v>0</v>
      </c>
      <c r="L95" s="55">
        <v>0</v>
      </c>
      <c r="M95" s="55">
        <v>0</v>
      </c>
      <c r="N95" s="55">
        <v>0</v>
      </c>
      <c r="O95" s="55">
        <v>0</v>
      </c>
      <c r="P95" s="55">
        <v>0</v>
      </c>
      <c r="Q95" s="55">
        <v>0</v>
      </c>
      <c r="R95" s="55">
        <v>0</v>
      </c>
      <c r="S95" s="56"/>
    </row>
    <row r="96" spans="1:19" ht="36" x14ac:dyDescent="0.25">
      <c r="A96" s="1087"/>
      <c r="B96" s="1090"/>
      <c r="C96" s="384" t="s">
        <v>753</v>
      </c>
      <c r="D96" s="55">
        <f t="shared" si="2"/>
        <v>0</v>
      </c>
      <c r="E96" s="55">
        <v>0</v>
      </c>
      <c r="F96" s="55">
        <v>0</v>
      </c>
      <c r="G96" s="55">
        <v>0</v>
      </c>
      <c r="H96" s="55">
        <v>0</v>
      </c>
      <c r="I96" s="55">
        <v>0</v>
      </c>
      <c r="J96" s="55">
        <v>0</v>
      </c>
      <c r="K96" s="55">
        <v>0</v>
      </c>
      <c r="L96" s="55">
        <v>0</v>
      </c>
      <c r="M96" s="55">
        <v>0</v>
      </c>
      <c r="N96" s="55">
        <v>0</v>
      </c>
      <c r="O96" s="55">
        <v>0</v>
      </c>
      <c r="P96" s="55">
        <v>0</v>
      </c>
      <c r="Q96" s="55">
        <v>0</v>
      </c>
      <c r="R96" s="55">
        <v>0</v>
      </c>
      <c r="S96" s="56"/>
    </row>
    <row r="97" spans="1:19" ht="24" x14ac:dyDescent="0.25">
      <c r="A97" s="52">
        <v>84</v>
      </c>
      <c r="B97" s="57" t="s">
        <v>181</v>
      </c>
      <c r="C97" s="54" t="s">
        <v>182</v>
      </c>
      <c r="D97" s="55">
        <f t="shared" si="2"/>
        <v>0</v>
      </c>
      <c r="E97" s="55">
        <v>0</v>
      </c>
      <c r="F97" s="55">
        <v>0</v>
      </c>
      <c r="G97" s="55">
        <v>0</v>
      </c>
      <c r="H97" s="55">
        <v>0</v>
      </c>
      <c r="I97" s="55">
        <v>0</v>
      </c>
      <c r="J97" s="55">
        <v>0</v>
      </c>
      <c r="K97" s="55">
        <v>0</v>
      </c>
      <c r="L97" s="55">
        <v>0</v>
      </c>
      <c r="M97" s="55">
        <v>0</v>
      </c>
      <c r="N97" s="55">
        <v>0</v>
      </c>
      <c r="O97" s="55">
        <v>0</v>
      </c>
      <c r="P97" s="55">
        <v>0</v>
      </c>
      <c r="Q97" s="55">
        <v>0</v>
      </c>
      <c r="R97" s="55">
        <v>0</v>
      </c>
      <c r="S97" s="56"/>
    </row>
    <row r="98" spans="1:19" x14ac:dyDescent="0.25">
      <c r="A98" s="52">
        <v>85</v>
      </c>
      <c r="B98" s="57" t="s">
        <v>183</v>
      </c>
      <c r="C98" s="61" t="s">
        <v>184</v>
      </c>
      <c r="D98" s="55">
        <f t="shared" si="2"/>
        <v>2169</v>
      </c>
      <c r="E98" s="55">
        <v>1740</v>
      </c>
      <c r="F98" s="55">
        <v>416</v>
      </c>
      <c r="G98" s="55">
        <v>0</v>
      </c>
      <c r="H98" s="55">
        <v>11</v>
      </c>
      <c r="I98" s="55">
        <v>0</v>
      </c>
      <c r="J98" s="55">
        <v>0</v>
      </c>
      <c r="K98" s="55">
        <v>2</v>
      </c>
      <c r="L98" s="55">
        <v>0</v>
      </c>
      <c r="M98" s="55">
        <v>0</v>
      </c>
      <c r="N98" s="55">
        <v>0</v>
      </c>
      <c r="O98" s="55">
        <v>0</v>
      </c>
      <c r="P98" s="55">
        <v>0</v>
      </c>
      <c r="Q98" s="55">
        <v>0</v>
      </c>
      <c r="R98" s="55">
        <v>0</v>
      </c>
      <c r="S98" s="56"/>
    </row>
    <row r="99" spans="1:19" x14ac:dyDescent="0.25">
      <c r="A99" s="52">
        <v>86</v>
      </c>
      <c r="B99" s="58" t="s">
        <v>185</v>
      </c>
      <c r="C99" s="59" t="s">
        <v>186</v>
      </c>
      <c r="D99" s="55">
        <f t="shared" si="2"/>
        <v>6690</v>
      </c>
      <c r="E99" s="55">
        <v>5333</v>
      </c>
      <c r="F99" s="55">
        <v>974</v>
      </c>
      <c r="G99" s="55">
        <v>156</v>
      </c>
      <c r="H99" s="55">
        <v>150</v>
      </c>
      <c r="I99" s="55">
        <v>0</v>
      </c>
      <c r="J99" s="55">
        <v>0</v>
      </c>
      <c r="K99" s="55">
        <v>0</v>
      </c>
      <c r="L99" s="55">
        <v>0</v>
      </c>
      <c r="M99" s="55">
        <v>4</v>
      </c>
      <c r="N99" s="55">
        <v>0</v>
      </c>
      <c r="O99" s="55">
        <v>1</v>
      </c>
      <c r="P99" s="55">
        <v>3</v>
      </c>
      <c r="Q99" s="55">
        <v>0</v>
      </c>
      <c r="R99" s="55">
        <v>69</v>
      </c>
      <c r="S99" s="56"/>
    </row>
    <row r="100" spans="1:19" x14ac:dyDescent="0.25">
      <c r="A100" s="52">
        <v>87</v>
      </c>
      <c r="B100" s="57" t="s">
        <v>187</v>
      </c>
      <c r="C100" s="54" t="s">
        <v>188</v>
      </c>
      <c r="D100" s="55">
        <f t="shared" si="2"/>
        <v>4580</v>
      </c>
      <c r="E100" s="55">
        <v>3740</v>
      </c>
      <c r="F100" s="55">
        <v>649</v>
      </c>
      <c r="G100" s="55">
        <v>4</v>
      </c>
      <c r="H100" s="55">
        <v>94</v>
      </c>
      <c r="I100" s="55">
        <v>0</v>
      </c>
      <c r="J100" s="55">
        <v>0</v>
      </c>
      <c r="K100" s="55">
        <v>0</v>
      </c>
      <c r="L100" s="55">
        <v>2</v>
      </c>
      <c r="M100" s="55">
        <v>0</v>
      </c>
      <c r="N100" s="55">
        <v>1</v>
      </c>
      <c r="O100" s="55">
        <v>0</v>
      </c>
      <c r="P100" s="55">
        <v>0</v>
      </c>
      <c r="Q100" s="55">
        <v>19</v>
      </c>
      <c r="R100" s="55">
        <v>71</v>
      </c>
      <c r="S100" s="56"/>
    </row>
    <row r="101" spans="1:19" x14ac:dyDescent="0.25">
      <c r="A101" s="52">
        <v>88</v>
      </c>
      <c r="B101" s="58" t="s">
        <v>189</v>
      </c>
      <c r="C101" s="59" t="s">
        <v>190</v>
      </c>
      <c r="D101" s="55">
        <f t="shared" si="2"/>
        <v>3583</v>
      </c>
      <c r="E101" s="55">
        <v>3552</v>
      </c>
      <c r="F101" s="55">
        <v>1</v>
      </c>
      <c r="G101" s="55">
        <v>0</v>
      </c>
      <c r="H101" s="55">
        <v>1</v>
      </c>
      <c r="I101" s="55">
        <v>0</v>
      </c>
      <c r="J101" s="55">
        <v>0</v>
      </c>
      <c r="K101" s="55">
        <v>0</v>
      </c>
      <c r="L101" s="55">
        <v>0</v>
      </c>
      <c r="M101" s="55">
        <v>5</v>
      </c>
      <c r="N101" s="55">
        <v>3</v>
      </c>
      <c r="O101" s="55">
        <v>0</v>
      </c>
      <c r="P101" s="55">
        <v>0</v>
      </c>
      <c r="Q101" s="55">
        <v>16</v>
      </c>
      <c r="R101" s="55">
        <v>5</v>
      </c>
      <c r="S101" s="56"/>
    </row>
    <row r="102" spans="1:19" x14ac:dyDescent="0.25">
      <c r="A102" s="52">
        <v>89</v>
      </c>
      <c r="B102" s="58" t="s">
        <v>191</v>
      </c>
      <c r="C102" s="59" t="s">
        <v>192</v>
      </c>
      <c r="D102" s="55">
        <f t="shared" si="2"/>
        <v>13140</v>
      </c>
      <c r="E102" s="55">
        <v>12785</v>
      </c>
      <c r="F102" s="55">
        <v>121</v>
      </c>
      <c r="G102" s="55">
        <v>100</v>
      </c>
      <c r="H102" s="55">
        <v>79</v>
      </c>
      <c r="I102" s="55">
        <v>0</v>
      </c>
      <c r="J102" s="55">
        <v>0</v>
      </c>
      <c r="K102" s="55">
        <v>3</v>
      </c>
      <c r="L102" s="55">
        <v>0</v>
      </c>
      <c r="M102" s="55">
        <v>2</v>
      </c>
      <c r="N102" s="55">
        <v>18</v>
      </c>
      <c r="O102" s="55">
        <v>4</v>
      </c>
      <c r="P102" s="55">
        <v>0</v>
      </c>
      <c r="Q102" s="55">
        <v>28</v>
      </c>
      <c r="R102" s="55">
        <v>0</v>
      </c>
      <c r="S102" s="56"/>
    </row>
    <row r="103" spans="1:19" x14ac:dyDescent="0.25">
      <c r="A103" s="52">
        <v>90</v>
      </c>
      <c r="B103" s="57" t="s">
        <v>193</v>
      </c>
      <c r="C103" s="61" t="s">
        <v>194</v>
      </c>
      <c r="D103" s="55">
        <f t="shared" si="2"/>
        <v>5264</v>
      </c>
      <c r="E103" s="55">
        <v>4763</v>
      </c>
      <c r="F103" s="55">
        <v>351</v>
      </c>
      <c r="G103" s="55">
        <v>95</v>
      </c>
      <c r="H103" s="55">
        <v>0</v>
      </c>
      <c r="I103" s="55">
        <v>0</v>
      </c>
      <c r="J103" s="55">
        <v>0</v>
      </c>
      <c r="K103" s="55">
        <v>2</v>
      </c>
      <c r="L103" s="55">
        <v>0</v>
      </c>
      <c r="M103" s="55">
        <v>1</v>
      </c>
      <c r="N103" s="55">
        <v>30</v>
      </c>
      <c r="O103" s="55">
        <v>0</v>
      </c>
      <c r="P103" s="55">
        <v>0</v>
      </c>
      <c r="Q103" s="55">
        <v>19</v>
      </c>
      <c r="R103" s="55">
        <v>3</v>
      </c>
      <c r="S103" s="56"/>
    </row>
    <row r="104" spans="1:19" x14ac:dyDescent="0.25">
      <c r="A104" s="52">
        <v>91</v>
      </c>
      <c r="B104" s="57" t="s">
        <v>195</v>
      </c>
      <c r="C104" s="54" t="s">
        <v>196</v>
      </c>
      <c r="D104" s="55">
        <f t="shared" si="2"/>
        <v>10485</v>
      </c>
      <c r="E104" s="55">
        <v>9461</v>
      </c>
      <c r="F104" s="55">
        <v>565</v>
      </c>
      <c r="G104" s="55">
        <v>220</v>
      </c>
      <c r="H104" s="55">
        <v>138</v>
      </c>
      <c r="I104" s="55">
        <v>0</v>
      </c>
      <c r="J104" s="55">
        <v>0</v>
      </c>
      <c r="K104" s="55">
        <v>0</v>
      </c>
      <c r="L104" s="55">
        <v>3</v>
      </c>
      <c r="M104" s="55">
        <v>6</v>
      </c>
      <c r="N104" s="55">
        <v>10</v>
      </c>
      <c r="O104" s="55">
        <v>0</v>
      </c>
      <c r="P104" s="55">
        <v>0</v>
      </c>
      <c r="Q104" s="55">
        <v>77</v>
      </c>
      <c r="R104" s="55">
        <v>5</v>
      </c>
      <c r="S104" s="56"/>
    </row>
    <row r="105" spans="1:19" x14ac:dyDescent="0.25">
      <c r="A105" s="52">
        <v>92</v>
      </c>
      <c r="B105" s="53" t="s">
        <v>197</v>
      </c>
      <c r="C105" s="54" t="s">
        <v>198</v>
      </c>
      <c r="D105" s="55">
        <f t="shared" si="2"/>
        <v>9656</v>
      </c>
      <c r="E105" s="55">
        <v>8534</v>
      </c>
      <c r="F105" s="55">
        <v>858</v>
      </c>
      <c r="G105" s="55">
        <v>200</v>
      </c>
      <c r="H105" s="55">
        <v>38</v>
      </c>
      <c r="I105" s="55">
        <v>0</v>
      </c>
      <c r="J105" s="55">
        <v>0</v>
      </c>
      <c r="K105" s="55">
        <v>0</v>
      </c>
      <c r="L105" s="55">
        <v>1</v>
      </c>
      <c r="M105" s="55">
        <v>0</v>
      </c>
      <c r="N105" s="55">
        <v>2</v>
      </c>
      <c r="O105" s="55">
        <v>0</v>
      </c>
      <c r="P105" s="55">
        <v>0</v>
      </c>
      <c r="Q105" s="55">
        <v>22</v>
      </c>
      <c r="R105" s="55">
        <v>1</v>
      </c>
      <c r="S105" s="56"/>
    </row>
    <row r="106" spans="1:19" x14ac:dyDescent="0.25">
      <c r="A106" s="52">
        <v>93</v>
      </c>
      <c r="B106" s="53" t="s">
        <v>199</v>
      </c>
      <c r="C106" s="54" t="s">
        <v>200</v>
      </c>
      <c r="D106" s="55">
        <f t="shared" si="2"/>
        <v>8391</v>
      </c>
      <c r="E106" s="55">
        <v>7513</v>
      </c>
      <c r="F106" s="55">
        <v>794</v>
      </c>
      <c r="G106" s="55">
        <v>2</v>
      </c>
      <c r="H106" s="55">
        <v>28</v>
      </c>
      <c r="I106" s="55">
        <v>0</v>
      </c>
      <c r="J106" s="55">
        <v>0</v>
      </c>
      <c r="K106" s="55">
        <v>0</v>
      </c>
      <c r="L106" s="55">
        <v>1</v>
      </c>
      <c r="M106" s="55">
        <v>17</v>
      </c>
      <c r="N106" s="55">
        <v>4</v>
      </c>
      <c r="O106" s="55">
        <v>2</v>
      </c>
      <c r="P106" s="55">
        <v>2</v>
      </c>
      <c r="Q106" s="55">
        <v>21</v>
      </c>
      <c r="R106" s="55">
        <v>7</v>
      </c>
      <c r="S106" s="56"/>
    </row>
    <row r="107" spans="1:19" x14ac:dyDescent="0.25">
      <c r="A107" s="52">
        <v>94</v>
      </c>
      <c r="B107" s="58" t="s">
        <v>201</v>
      </c>
      <c r="C107" s="59" t="s">
        <v>202</v>
      </c>
      <c r="D107" s="55">
        <f t="shared" si="2"/>
        <v>4993</v>
      </c>
      <c r="E107" s="55">
        <v>4652</v>
      </c>
      <c r="F107" s="55">
        <v>193</v>
      </c>
      <c r="G107" s="55">
        <v>70</v>
      </c>
      <c r="H107" s="55">
        <v>16</v>
      </c>
      <c r="I107" s="55">
        <v>0</v>
      </c>
      <c r="J107" s="55">
        <v>0</v>
      </c>
      <c r="K107" s="55">
        <v>0</v>
      </c>
      <c r="L107" s="55">
        <v>0</v>
      </c>
      <c r="M107" s="55">
        <v>0</v>
      </c>
      <c r="N107" s="55">
        <v>35</v>
      </c>
      <c r="O107" s="55">
        <v>0</v>
      </c>
      <c r="P107" s="55">
        <v>0</v>
      </c>
      <c r="Q107" s="55">
        <v>20</v>
      </c>
      <c r="R107" s="55">
        <v>7</v>
      </c>
      <c r="S107" s="56"/>
    </row>
    <row r="108" spans="1:19" x14ac:dyDescent="0.25">
      <c r="A108" s="52">
        <v>95</v>
      </c>
      <c r="B108" s="60" t="s">
        <v>203</v>
      </c>
      <c r="C108" s="61" t="s">
        <v>204</v>
      </c>
      <c r="D108" s="55">
        <f t="shared" si="2"/>
        <v>7220</v>
      </c>
      <c r="E108" s="55">
        <v>6908</v>
      </c>
      <c r="F108" s="55">
        <v>33</v>
      </c>
      <c r="G108" s="55">
        <v>185</v>
      </c>
      <c r="H108" s="55">
        <v>25</v>
      </c>
      <c r="I108" s="55">
        <v>0</v>
      </c>
      <c r="J108" s="55">
        <v>1</v>
      </c>
      <c r="K108" s="55">
        <v>0</v>
      </c>
      <c r="L108" s="55">
        <v>0</v>
      </c>
      <c r="M108" s="55">
        <v>0</v>
      </c>
      <c r="N108" s="55">
        <v>7</v>
      </c>
      <c r="O108" s="55">
        <v>0</v>
      </c>
      <c r="P108" s="55">
        <v>0</v>
      </c>
      <c r="Q108" s="55">
        <v>61</v>
      </c>
      <c r="R108" s="55">
        <v>0</v>
      </c>
      <c r="S108" s="56"/>
    </row>
    <row r="109" spans="1:19" x14ac:dyDescent="0.25">
      <c r="A109" s="52">
        <v>96</v>
      </c>
      <c r="B109" s="53" t="s">
        <v>205</v>
      </c>
      <c r="C109" s="54" t="s">
        <v>206</v>
      </c>
      <c r="D109" s="55">
        <f t="shared" si="2"/>
        <v>6929</v>
      </c>
      <c r="E109" s="55">
        <v>6390</v>
      </c>
      <c r="F109" s="55">
        <v>455</v>
      </c>
      <c r="G109" s="55">
        <v>16</v>
      </c>
      <c r="H109" s="55">
        <v>27</v>
      </c>
      <c r="I109" s="55">
        <v>0</v>
      </c>
      <c r="J109" s="55">
        <v>0</v>
      </c>
      <c r="K109" s="55">
        <v>0</v>
      </c>
      <c r="L109" s="55">
        <v>0</v>
      </c>
      <c r="M109" s="55">
        <v>2</v>
      </c>
      <c r="N109" s="55">
        <v>0</v>
      </c>
      <c r="O109" s="55">
        <v>0</v>
      </c>
      <c r="P109" s="55">
        <v>0</v>
      </c>
      <c r="Q109" s="55">
        <v>15</v>
      </c>
      <c r="R109" s="55">
        <v>24</v>
      </c>
      <c r="S109" s="56"/>
    </row>
    <row r="110" spans="1:19" x14ac:dyDescent="0.25">
      <c r="A110" s="52">
        <v>97</v>
      </c>
      <c r="B110" s="57" t="s">
        <v>207</v>
      </c>
      <c r="C110" s="54" t="s">
        <v>208</v>
      </c>
      <c r="D110" s="55">
        <f t="shared" si="2"/>
        <v>6409</v>
      </c>
      <c r="E110" s="55">
        <v>5484</v>
      </c>
      <c r="F110" s="55">
        <v>777</v>
      </c>
      <c r="G110" s="55">
        <v>47</v>
      </c>
      <c r="H110" s="55">
        <v>10</v>
      </c>
      <c r="I110" s="55">
        <v>0</v>
      </c>
      <c r="J110" s="55">
        <v>0</v>
      </c>
      <c r="K110" s="55">
        <v>4</v>
      </c>
      <c r="L110" s="55">
        <v>2</v>
      </c>
      <c r="M110" s="55">
        <v>0</v>
      </c>
      <c r="N110" s="55">
        <v>0</v>
      </c>
      <c r="O110" s="55">
        <v>0</v>
      </c>
      <c r="P110" s="55">
        <v>0</v>
      </c>
      <c r="Q110" s="55">
        <v>58</v>
      </c>
      <c r="R110" s="55">
        <v>27</v>
      </c>
      <c r="S110" s="56"/>
    </row>
    <row r="111" spans="1:19" x14ac:dyDescent="0.25">
      <c r="A111" s="52">
        <v>98</v>
      </c>
      <c r="B111" s="58" t="s">
        <v>209</v>
      </c>
      <c r="C111" s="59" t="s">
        <v>210</v>
      </c>
      <c r="D111" s="55">
        <f t="shared" si="2"/>
        <v>4346</v>
      </c>
      <c r="E111" s="55">
        <v>4161</v>
      </c>
      <c r="F111" s="55">
        <v>91</v>
      </c>
      <c r="G111" s="55">
        <v>46</v>
      </c>
      <c r="H111" s="55">
        <v>0</v>
      </c>
      <c r="I111" s="55">
        <v>0</v>
      </c>
      <c r="J111" s="55">
        <v>0</v>
      </c>
      <c r="K111" s="55">
        <v>0</v>
      </c>
      <c r="L111" s="55">
        <v>0</v>
      </c>
      <c r="M111" s="55">
        <v>2</v>
      </c>
      <c r="N111" s="55">
        <v>37</v>
      </c>
      <c r="O111" s="55">
        <v>0</v>
      </c>
      <c r="P111" s="55">
        <v>0</v>
      </c>
      <c r="Q111" s="55">
        <v>8</v>
      </c>
      <c r="R111" s="55">
        <v>1</v>
      </c>
      <c r="S111" s="56"/>
    </row>
    <row r="112" spans="1:19" x14ac:dyDescent="0.25">
      <c r="A112" s="52">
        <v>99</v>
      </c>
      <c r="B112" s="58" t="s">
        <v>211</v>
      </c>
      <c r="C112" s="59" t="s">
        <v>212</v>
      </c>
      <c r="D112" s="55">
        <f t="shared" si="2"/>
        <v>8378</v>
      </c>
      <c r="E112" s="55">
        <v>7346</v>
      </c>
      <c r="F112" s="55">
        <v>843</v>
      </c>
      <c r="G112" s="55">
        <v>144</v>
      </c>
      <c r="H112" s="55">
        <v>31</v>
      </c>
      <c r="I112" s="55">
        <v>0</v>
      </c>
      <c r="J112" s="55">
        <v>0</v>
      </c>
      <c r="K112" s="55">
        <v>0</v>
      </c>
      <c r="L112" s="55">
        <v>0</v>
      </c>
      <c r="M112" s="55">
        <v>0</v>
      </c>
      <c r="N112" s="55">
        <v>2</v>
      </c>
      <c r="O112" s="55">
        <v>0</v>
      </c>
      <c r="P112" s="55">
        <v>0</v>
      </c>
      <c r="Q112" s="55">
        <v>12</v>
      </c>
      <c r="R112" s="55">
        <v>0</v>
      </c>
      <c r="S112" s="56"/>
    </row>
    <row r="113" spans="1:19" x14ac:dyDescent="0.25">
      <c r="A113" s="52">
        <v>100</v>
      </c>
      <c r="B113" s="53" t="s">
        <v>213</v>
      </c>
      <c r="C113" s="54" t="s">
        <v>214</v>
      </c>
      <c r="D113" s="55">
        <f t="shared" si="2"/>
        <v>12853</v>
      </c>
      <c r="E113" s="55">
        <v>10623</v>
      </c>
      <c r="F113" s="55">
        <v>1840</v>
      </c>
      <c r="G113" s="55">
        <v>81</v>
      </c>
      <c r="H113" s="55">
        <v>13</v>
      </c>
      <c r="I113" s="55">
        <v>0</v>
      </c>
      <c r="J113" s="55">
        <v>0</v>
      </c>
      <c r="K113" s="55">
        <v>1</v>
      </c>
      <c r="L113" s="55">
        <v>0</v>
      </c>
      <c r="M113" s="55">
        <v>1</v>
      </c>
      <c r="N113" s="55">
        <v>213</v>
      </c>
      <c r="O113" s="55">
        <v>8</v>
      </c>
      <c r="P113" s="55">
        <v>7</v>
      </c>
      <c r="Q113" s="55">
        <v>65</v>
      </c>
      <c r="R113" s="55">
        <v>1</v>
      </c>
      <c r="S113" s="56"/>
    </row>
    <row r="114" spans="1:19" x14ac:dyDescent="0.25">
      <c r="A114" s="52">
        <v>101</v>
      </c>
      <c r="B114" s="57" t="s">
        <v>215</v>
      </c>
      <c r="C114" s="54" t="s">
        <v>216</v>
      </c>
      <c r="D114" s="55">
        <f t="shared" si="2"/>
        <v>7049</v>
      </c>
      <c r="E114" s="55">
        <v>6917</v>
      </c>
      <c r="F114" s="55">
        <v>0</v>
      </c>
      <c r="G114" s="55">
        <v>0</v>
      </c>
      <c r="H114" s="55">
        <v>3</v>
      </c>
      <c r="I114" s="55">
        <v>0</v>
      </c>
      <c r="J114" s="55">
        <v>0</v>
      </c>
      <c r="K114" s="55">
        <v>0</v>
      </c>
      <c r="L114" s="55">
        <v>0</v>
      </c>
      <c r="M114" s="55">
        <v>3</v>
      </c>
      <c r="N114" s="55">
        <v>3</v>
      </c>
      <c r="O114" s="55">
        <v>3</v>
      </c>
      <c r="P114" s="55">
        <v>0</v>
      </c>
      <c r="Q114" s="55">
        <v>84</v>
      </c>
      <c r="R114" s="55">
        <v>36</v>
      </c>
      <c r="S114" s="56"/>
    </row>
    <row r="115" spans="1:19" x14ac:dyDescent="0.25">
      <c r="A115" s="52">
        <v>102</v>
      </c>
      <c r="B115" s="53" t="s">
        <v>217</v>
      </c>
      <c r="C115" s="59" t="s">
        <v>218</v>
      </c>
      <c r="D115" s="55">
        <f t="shared" si="2"/>
        <v>0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K115" s="55">
        <v>0</v>
      </c>
      <c r="L115" s="55">
        <v>0</v>
      </c>
      <c r="M115" s="55">
        <v>0</v>
      </c>
      <c r="N115" s="55">
        <v>0</v>
      </c>
      <c r="O115" s="55">
        <v>0</v>
      </c>
      <c r="P115" s="55">
        <v>0</v>
      </c>
      <c r="Q115" s="55">
        <v>0</v>
      </c>
      <c r="R115" s="55">
        <v>0</v>
      </c>
      <c r="S115" s="56"/>
    </row>
    <row r="116" spans="1:19" x14ac:dyDescent="0.25">
      <c r="A116" s="52">
        <v>103</v>
      </c>
      <c r="B116" s="53" t="s">
        <v>219</v>
      </c>
      <c r="C116" s="54" t="s">
        <v>220</v>
      </c>
      <c r="D116" s="55">
        <f t="shared" si="2"/>
        <v>0</v>
      </c>
      <c r="E116" s="55">
        <v>0</v>
      </c>
      <c r="F116" s="55">
        <v>0</v>
      </c>
      <c r="G116" s="55">
        <v>0</v>
      </c>
      <c r="H116" s="55">
        <v>0</v>
      </c>
      <c r="I116" s="55">
        <v>0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5">
        <v>0</v>
      </c>
      <c r="S116" s="56"/>
    </row>
    <row r="117" spans="1:19" x14ac:dyDescent="0.25">
      <c r="A117" s="52">
        <v>104</v>
      </c>
      <c r="B117" s="58" t="s">
        <v>221</v>
      </c>
      <c r="C117" s="59" t="s">
        <v>222</v>
      </c>
      <c r="D117" s="55">
        <f t="shared" si="2"/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K117" s="55">
        <v>0</v>
      </c>
      <c r="L117" s="55">
        <v>0</v>
      </c>
      <c r="M117" s="55">
        <v>0</v>
      </c>
      <c r="N117" s="55">
        <v>0</v>
      </c>
      <c r="O117" s="55">
        <v>0</v>
      </c>
      <c r="P117" s="55">
        <v>0</v>
      </c>
      <c r="Q117" s="55">
        <v>0</v>
      </c>
      <c r="R117" s="55">
        <v>0</v>
      </c>
      <c r="S117" s="56"/>
    </row>
    <row r="118" spans="1:19" x14ac:dyDescent="0.25">
      <c r="A118" s="52">
        <v>105</v>
      </c>
      <c r="B118" s="58" t="s">
        <v>223</v>
      </c>
      <c r="C118" s="59" t="s">
        <v>224</v>
      </c>
      <c r="D118" s="55">
        <f t="shared" si="2"/>
        <v>0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5">
        <v>0</v>
      </c>
      <c r="S118" s="56"/>
    </row>
    <row r="119" spans="1:19" x14ac:dyDescent="0.25">
      <c r="A119" s="52">
        <v>106</v>
      </c>
      <c r="B119" s="58" t="s">
        <v>225</v>
      </c>
      <c r="C119" s="59" t="s">
        <v>226</v>
      </c>
      <c r="D119" s="55">
        <f t="shared" si="2"/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0</v>
      </c>
      <c r="N119" s="55">
        <v>0</v>
      </c>
      <c r="O119" s="55">
        <v>0</v>
      </c>
      <c r="P119" s="55">
        <v>0</v>
      </c>
      <c r="Q119" s="55">
        <v>0</v>
      </c>
      <c r="R119" s="55">
        <v>0</v>
      </c>
      <c r="S119" s="56"/>
    </row>
    <row r="120" spans="1:19" ht="24" x14ac:dyDescent="0.25">
      <c r="A120" s="52">
        <v>107</v>
      </c>
      <c r="B120" s="58" t="s">
        <v>227</v>
      </c>
      <c r="C120" s="59" t="s">
        <v>228</v>
      </c>
      <c r="D120" s="55">
        <f t="shared" si="2"/>
        <v>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K120" s="55">
        <v>0</v>
      </c>
      <c r="L120" s="55">
        <v>0</v>
      </c>
      <c r="M120" s="55">
        <v>0</v>
      </c>
      <c r="N120" s="55">
        <v>0</v>
      </c>
      <c r="O120" s="55">
        <v>0</v>
      </c>
      <c r="P120" s="55">
        <v>0</v>
      </c>
      <c r="Q120" s="55">
        <v>0</v>
      </c>
      <c r="R120" s="55">
        <v>0</v>
      </c>
      <c r="S120" s="56"/>
    </row>
    <row r="121" spans="1:19" x14ac:dyDescent="0.25">
      <c r="A121" s="52">
        <v>108</v>
      </c>
      <c r="B121" s="58" t="s">
        <v>229</v>
      </c>
      <c r="C121" s="59" t="s">
        <v>230</v>
      </c>
      <c r="D121" s="55">
        <f t="shared" si="2"/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K121" s="55">
        <v>0</v>
      </c>
      <c r="L121" s="55">
        <v>0</v>
      </c>
      <c r="M121" s="55">
        <v>0</v>
      </c>
      <c r="N121" s="55">
        <v>0</v>
      </c>
      <c r="O121" s="55">
        <v>0</v>
      </c>
      <c r="P121" s="55">
        <v>0</v>
      </c>
      <c r="Q121" s="55">
        <v>0</v>
      </c>
      <c r="R121" s="55">
        <v>0</v>
      </c>
      <c r="S121" s="56"/>
    </row>
    <row r="122" spans="1:19" x14ac:dyDescent="0.25">
      <c r="A122" s="52">
        <v>109</v>
      </c>
      <c r="B122" s="58" t="s">
        <v>231</v>
      </c>
      <c r="C122" s="59" t="s">
        <v>232</v>
      </c>
      <c r="D122" s="55">
        <f t="shared" si="2"/>
        <v>0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K122" s="55">
        <v>0</v>
      </c>
      <c r="L122" s="55">
        <v>0</v>
      </c>
      <c r="M122" s="55">
        <v>0</v>
      </c>
      <c r="N122" s="55">
        <v>0</v>
      </c>
      <c r="O122" s="55">
        <v>0</v>
      </c>
      <c r="P122" s="55">
        <v>0</v>
      </c>
      <c r="Q122" s="55">
        <v>0</v>
      </c>
      <c r="R122" s="55">
        <v>0</v>
      </c>
      <c r="S122" s="56"/>
    </row>
    <row r="123" spans="1:19" x14ac:dyDescent="0.25">
      <c r="A123" s="52">
        <v>110</v>
      </c>
      <c r="B123" s="64" t="s">
        <v>233</v>
      </c>
      <c r="C123" s="65" t="s">
        <v>234</v>
      </c>
      <c r="D123" s="55">
        <f t="shared" si="2"/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K123" s="55">
        <v>0</v>
      </c>
      <c r="L123" s="55">
        <v>0</v>
      </c>
      <c r="M123" s="55">
        <v>0</v>
      </c>
      <c r="N123" s="55">
        <v>0</v>
      </c>
      <c r="O123" s="55">
        <v>0</v>
      </c>
      <c r="P123" s="55">
        <v>0</v>
      </c>
      <c r="Q123" s="55">
        <v>0</v>
      </c>
      <c r="R123" s="55">
        <v>0</v>
      </c>
      <c r="S123" s="56"/>
    </row>
    <row r="124" spans="1:19" x14ac:dyDescent="0.25">
      <c r="A124" s="52">
        <v>111</v>
      </c>
      <c r="B124" s="64" t="s">
        <v>235</v>
      </c>
      <c r="C124" s="65" t="s">
        <v>236</v>
      </c>
      <c r="D124" s="55">
        <f t="shared" si="2"/>
        <v>0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K124" s="55">
        <v>0</v>
      </c>
      <c r="L124" s="55">
        <v>0</v>
      </c>
      <c r="M124" s="55">
        <v>0</v>
      </c>
      <c r="N124" s="55">
        <v>0</v>
      </c>
      <c r="O124" s="55">
        <v>0</v>
      </c>
      <c r="P124" s="55">
        <v>0</v>
      </c>
      <c r="Q124" s="55">
        <v>0</v>
      </c>
      <c r="R124" s="55">
        <v>0</v>
      </c>
      <c r="S124" s="56"/>
    </row>
    <row r="125" spans="1:19" x14ac:dyDescent="0.25">
      <c r="A125" s="52">
        <v>112</v>
      </c>
      <c r="B125" s="57" t="s">
        <v>237</v>
      </c>
      <c r="C125" s="54" t="s">
        <v>238</v>
      </c>
      <c r="D125" s="55">
        <f t="shared" si="2"/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K125" s="55">
        <v>0</v>
      </c>
      <c r="L125" s="55">
        <v>0</v>
      </c>
      <c r="M125" s="55">
        <v>0</v>
      </c>
      <c r="N125" s="55">
        <v>0</v>
      </c>
      <c r="O125" s="55">
        <v>0</v>
      </c>
      <c r="P125" s="55">
        <v>0</v>
      </c>
      <c r="Q125" s="55">
        <v>0</v>
      </c>
      <c r="R125" s="55">
        <v>0</v>
      </c>
      <c r="S125" s="56"/>
    </row>
    <row r="126" spans="1:19" x14ac:dyDescent="0.25">
      <c r="A126" s="52">
        <v>113</v>
      </c>
      <c r="B126" s="58" t="s">
        <v>239</v>
      </c>
      <c r="C126" s="59" t="s">
        <v>240</v>
      </c>
      <c r="D126" s="55">
        <f t="shared" si="2"/>
        <v>0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K126" s="55">
        <v>0</v>
      </c>
      <c r="L126" s="55">
        <v>0</v>
      </c>
      <c r="M126" s="55">
        <v>0</v>
      </c>
      <c r="N126" s="55">
        <v>0</v>
      </c>
      <c r="O126" s="55">
        <v>0</v>
      </c>
      <c r="P126" s="55">
        <v>0</v>
      </c>
      <c r="Q126" s="55">
        <v>0</v>
      </c>
      <c r="R126" s="55">
        <v>0</v>
      </c>
      <c r="S126" s="56"/>
    </row>
    <row r="127" spans="1:19" x14ac:dyDescent="0.25">
      <c r="A127" s="52">
        <v>114</v>
      </c>
      <c r="B127" s="53" t="s">
        <v>241</v>
      </c>
      <c r="C127" s="66" t="s">
        <v>242</v>
      </c>
      <c r="D127" s="55">
        <f t="shared" si="2"/>
        <v>0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K127" s="55">
        <v>0</v>
      </c>
      <c r="L127" s="55">
        <v>0</v>
      </c>
      <c r="M127" s="55">
        <v>0</v>
      </c>
      <c r="N127" s="55">
        <v>0</v>
      </c>
      <c r="O127" s="55">
        <v>0</v>
      </c>
      <c r="P127" s="55">
        <v>0</v>
      </c>
      <c r="Q127" s="55">
        <v>0</v>
      </c>
      <c r="R127" s="55">
        <v>0</v>
      </c>
      <c r="S127" s="56"/>
    </row>
    <row r="128" spans="1:19" x14ac:dyDescent="0.25">
      <c r="A128" s="52">
        <v>115</v>
      </c>
      <c r="B128" s="58" t="s">
        <v>243</v>
      </c>
      <c r="C128" s="69" t="s">
        <v>385</v>
      </c>
      <c r="D128" s="55">
        <f t="shared" si="2"/>
        <v>0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K128" s="55">
        <v>0</v>
      </c>
      <c r="L128" s="55">
        <v>0</v>
      </c>
      <c r="M128" s="55">
        <v>0</v>
      </c>
      <c r="N128" s="55">
        <v>0</v>
      </c>
      <c r="O128" s="55">
        <v>0</v>
      </c>
      <c r="P128" s="55">
        <v>0</v>
      </c>
      <c r="Q128" s="55">
        <v>0</v>
      </c>
      <c r="R128" s="55">
        <v>0</v>
      </c>
      <c r="S128" s="56"/>
    </row>
    <row r="129" spans="1:19" x14ac:dyDescent="0.25">
      <c r="A129" s="52">
        <v>116</v>
      </c>
      <c r="B129" s="57" t="s">
        <v>244</v>
      </c>
      <c r="C129" s="59" t="s">
        <v>245</v>
      </c>
      <c r="D129" s="55">
        <f t="shared" si="2"/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K129" s="55">
        <v>0</v>
      </c>
      <c r="L129" s="55">
        <v>0</v>
      </c>
      <c r="M129" s="55">
        <v>0</v>
      </c>
      <c r="N129" s="55">
        <v>0</v>
      </c>
      <c r="O129" s="55">
        <v>0</v>
      </c>
      <c r="P129" s="55">
        <v>0</v>
      </c>
      <c r="Q129" s="55">
        <v>0</v>
      </c>
      <c r="R129" s="55">
        <v>0</v>
      </c>
      <c r="S129" s="56"/>
    </row>
    <row r="130" spans="1:19" x14ac:dyDescent="0.25">
      <c r="A130" s="52">
        <v>117</v>
      </c>
      <c r="B130" s="57" t="s">
        <v>246</v>
      </c>
      <c r="C130" s="59" t="s">
        <v>247</v>
      </c>
      <c r="D130" s="55">
        <f t="shared" si="2"/>
        <v>0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K130" s="55">
        <v>0</v>
      </c>
      <c r="L130" s="55">
        <v>0</v>
      </c>
      <c r="M130" s="55">
        <v>0</v>
      </c>
      <c r="N130" s="55">
        <v>0</v>
      </c>
      <c r="O130" s="55">
        <v>0</v>
      </c>
      <c r="P130" s="55">
        <v>0</v>
      </c>
      <c r="Q130" s="55">
        <v>0</v>
      </c>
      <c r="R130" s="55">
        <v>0</v>
      </c>
      <c r="S130" s="56"/>
    </row>
    <row r="131" spans="1:19" x14ac:dyDescent="0.25">
      <c r="A131" s="52">
        <v>118</v>
      </c>
      <c r="B131" s="57" t="s">
        <v>248</v>
      </c>
      <c r="C131" s="59" t="s">
        <v>249</v>
      </c>
      <c r="D131" s="55">
        <f t="shared" si="2"/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K131" s="55">
        <v>0</v>
      </c>
      <c r="L131" s="55">
        <v>0</v>
      </c>
      <c r="M131" s="55">
        <v>0</v>
      </c>
      <c r="N131" s="55">
        <v>0</v>
      </c>
      <c r="O131" s="55">
        <v>0</v>
      </c>
      <c r="P131" s="55">
        <v>0</v>
      </c>
      <c r="Q131" s="55">
        <v>0</v>
      </c>
      <c r="R131" s="55">
        <v>0</v>
      </c>
      <c r="S131" s="56"/>
    </row>
    <row r="132" spans="1:19" x14ac:dyDescent="0.25">
      <c r="A132" s="52">
        <v>119</v>
      </c>
      <c r="B132" s="53" t="s">
        <v>250</v>
      </c>
      <c r="C132" s="54" t="s">
        <v>251</v>
      </c>
      <c r="D132" s="55">
        <f t="shared" si="2"/>
        <v>0</v>
      </c>
      <c r="E132" s="55">
        <v>0</v>
      </c>
      <c r="F132" s="55">
        <v>0</v>
      </c>
      <c r="G132" s="55">
        <v>0</v>
      </c>
      <c r="H132" s="55">
        <v>0</v>
      </c>
      <c r="I132" s="55">
        <v>0</v>
      </c>
      <c r="J132" s="55">
        <v>0</v>
      </c>
      <c r="K132" s="55">
        <v>0</v>
      </c>
      <c r="L132" s="55">
        <v>0</v>
      </c>
      <c r="M132" s="55">
        <v>0</v>
      </c>
      <c r="N132" s="55">
        <v>0</v>
      </c>
      <c r="O132" s="55">
        <v>0</v>
      </c>
      <c r="P132" s="55">
        <v>0</v>
      </c>
      <c r="Q132" s="55">
        <v>0</v>
      </c>
      <c r="R132" s="55">
        <v>0</v>
      </c>
      <c r="S132" s="56"/>
    </row>
    <row r="133" spans="1:19" x14ac:dyDescent="0.25">
      <c r="A133" s="52">
        <v>120</v>
      </c>
      <c r="B133" s="57" t="s">
        <v>252</v>
      </c>
      <c r="C133" s="54" t="s">
        <v>253</v>
      </c>
      <c r="D133" s="55">
        <f t="shared" si="2"/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0</v>
      </c>
      <c r="J133" s="55">
        <v>0</v>
      </c>
      <c r="K133" s="55">
        <v>0</v>
      </c>
      <c r="L133" s="55">
        <v>0</v>
      </c>
      <c r="M133" s="55">
        <v>0</v>
      </c>
      <c r="N133" s="55">
        <v>0</v>
      </c>
      <c r="O133" s="55">
        <v>0</v>
      </c>
      <c r="P133" s="55">
        <v>0</v>
      </c>
      <c r="Q133" s="55">
        <v>0</v>
      </c>
      <c r="R133" s="55">
        <v>0</v>
      </c>
      <c r="S133" s="56"/>
    </row>
    <row r="134" spans="1:19" x14ac:dyDescent="0.25">
      <c r="A134" s="52">
        <v>121</v>
      </c>
      <c r="B134" s="58" t="s">
        <v>254</v>
      </c>
      <c r="C134" s="59" t="s">
        <v>255</v>
      </c>
      <c r="D134" s="55">
        <f t="shared" si="2"/>
        <v>0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K134" s="55">
        <v>0</v>
      </c>
      <c r="L134" s="55">
        <v>0</v>
      </c>
      <c r="M134" s="55">
        <v>0</v>
      </c>
      <c r="N134" s="55">
        <v>0</v>
      </c>
      <c r="O134" s="55">
        <v>0</v>
      </c>
      <c r="P134" s="55">
        <v>0</v>
      </c>
      <c r="Q134" s="55">
        <v>0</v>
      </c>
      <c r="R134" s="55">
        <v>0</v>
      </c>
      <c r="S134" s="56"/>
    </row>
    <row r="135" spans="1:19" x14ac:dyDescent="0.25">
      <c r="A135" s="52">
        <v>122</v>
      </c>
      <c r="B135" s="58" t="s">
        <v>256</v>
      </c>
      <c r="C135" s="59" t="s">
        <v>257</v>
      </c>
      <c r="D135" s="55">
        <f t="shared" si="2"/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K135" s="55">
        <v>0</v>
      </c>
      <c r="L135" s="55">
        <v>0</v>
      </c>
      <c r="M135" s="55">
        <v>0</v>
      </c>
      <c r="N135" s="55">
        <v>0</v>
      </c>
      <c r="O135" s="55">
        <v>0</v>
      </c>
      <c r="P135" s="55">
        <v>0</v>
      </c>
      <c r="Q135" s="55">
        <v>0</v>
      </c>
      <c r="R135" s="55">
        <v>0</v>
      </c>
      <c r="S135" s="56"/>
    </row>
    <row r="136" spans="1:19" x14ac:dyDescent="0.25">
      <c r="A136" s="52">
        <v>123</v>
      </c>
      <c r="B136" s="58" t="s">
        <v>258</v>
      </c>
      <c r="C136" s="59" t="s">
        <v>259</v>
      </c>
      <c r="D136" s="55">
        <f t="shared" si="2"/>
        <v>0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0</v>
      </c>
      <c r="K136" s="55">
        <v>0</v>
      </c>
      <c r="L136" s="55">
        <v>0</v>
      </c>
      <c r="M136" s="55">
        <v>0</v>
      </c>
      <c r="N136" s="55">
        <v>0</v>
      </c>
      <c r="O136" s="55">
        <v>0</v>
      </c>
      <c r="P136" s="55">
        <v>0</v>
      </c>
      <c r="Q136" s="55">
        <v>0</v>
      </c>
      <c r="R136" s="55">
        <v>0</v>
      </c>
      <c r="S136" s="56"/>
    </row>
    <row r="137" spans="1:19" x14ac:dyDescent="0.25">
      <c r="A137" s="52">
        <v>124</v>
      </c>
      <c r="B137" s="58" t="s">
        <v>260</v>
      </c>
      <c r="C137" s="59" t="s">
        <v>261</v>
      </c>
      <c r="D137" s="55">
        <f t="shared" si="2"/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K137" s="55">
        <v>0</v>
      </c>
      <c r="L137" s="55">
        <v>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6"/>
    </row>
    <row r="138" spans="1:19" x14ac:dyDescent="0.25">
      <c r="A138" s="52">
        <v>125</v>
      </c>
      <c r="B138" s="58" t="s">
        <v>262</v>
      </c>
      <c r="C138" s="59" t="s">
        <v>263</v>
      </c>
      <c r="D138" s="55">
        <f t="shared" si="2"/>
        <v>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K138" s="55">
        <v>0</v>
      </c>
      <c r="L138" s="55">
        <v>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6"/>
    </row>
    <row r="139" spans="1:19" x14ac:dyDescent="0.25">
      <c r="A139" s="52">
        <v>126</v>
      </c>
      <c r="B139" s="53" t="s">
        <v>264</v>
      </c>
      <c r="C139" s="54" t="s">
        <v>265</v>
      </c>
      <c r="D139" s="55">
        <f t="shared" si="2"/>
        <v>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K139" s="55">
        <v>0</v>
      </c>
      <c r="L139" s="55">
        <v>0</v>
      </c>
      <c r="M139" s="55">
        <v>0</v>
      </c>
      <c r="N139" s="55">
        <v>0</v>
      </c>
      <c r="O139" s="55">
        <v>0</v>
      </c>
      <c r="P139" s="55">
        <v>0</v>
      </c>
      <c r="Q139" s="55">
        <v>0</v>
      </c>
      <c r="R139" s="55">
        <v>0</v>
      </c>
      <c r="S139" s="56"/>
    </row>
    <row r="140" spans="1:19" x14ac:dyDescent="0.25">
      <c r="A140" s="52">
        <v>127</v>
      </c>
      <c r="B140" s="53" t="s">
        <v>266</v>
      </c>
      <c r="C140" s="59" t="s">
        <v>267</v>
      </c>
      <c r="D140" s="55">
        <f t="shared" si="2"/>
        <v>0</v>
      </c>
      <c r="E140" s="55">
        <v>0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K140" s="55">
        <v>0</v>
      </c>
      <c r="L140" s="55">
        <v>0</v>
      </c>
      <c r="M140" s="55">
        <v>0</v>
      </c>
      <c r="N140" s="55">
        <v>0</v>
      </c>
      <c r="O140" s="55">
        <v>0</v>
      </c>
      <c r="P140" s="55">
        <v>0</v>
      </c>
      <c r="Q140" s="55">
        <v>0</v>
      </c>
      <c r="R140" s="55">
        <v>0</v>
      </c>
      <c r="S140" s="56"/>
    </row>
    <row r="141" spans="1:19" x14ac:dyDescent="0.25">
      <c r="A141" s="52">
        <v>128</v>
      </c>
      <c r="B141" s="60" t="s">
        <v>268</v>
      </c>
      <c r="C141" s="61" t="s">
        <v>269</v>
      </c>
      <c r="D141" s="55">
        <f t="shared" ref="D141:D153" si="3">SUM(E141:R141)</f>
        <v>0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K141" s="55">
        <v>0</v>
      </c>
      <c r="L141" s="55">
        <v>0</v>
      </c>
      <c r="M141" s="55">
        <v>0</v>
      </c>
      <c r="N141" s="55">
        <v>0</v>
      </c>
      <c r="O141" s="55">
        <v>0</v>
      </c>
      <c r="P141" s="55">
        <v>0</v>
      </c>
      <c r="Q141" s="55">
        <v>0</v>
      </c>
      <c r="R141" s="55">
        <v>0</v>
      </c>
      <c r="S141" s="56"/>
    </row>
    <row r="142" spans="1:19" x14ac:dyDescent="0.25">
      <c r="A142" s="52">
        <v>129</v>
      </c>
      <c r="B142" s="58" t="s">
        <v>270</v>
      </c>
      <c r="C142" s="59" t="s">
        <v>271</v>
      </c>
      <c r="D142" s="55">
        <f t="shared" si="3"/>
        <v>0</v>
      </c>
      <c r="E142" s="55">
        <v>0</v>
      </c>
      <c r="F142" s="55">
        <v>0</v>
      </c>
      <c r="G142" s="55">
        <v>0</v>
      </c>
      <c r="H142" s="55">
        <v>0</v>
      </c>
      <c r="I142" s="55">
        <v>0</v>
      </c>
      <c r="J142" s="55">
        <v>0</v>
      </c>
      <c r="K142" s="55">
        <v>0</v>
      </c>
      <c r="L142" s="55">
        <v>0</v>
      </c>
      <c r="M142" s="55">
        <v>0</v>
      </c>
      <c r="N142" s="55">
        <v>0</v>
      </c>
      <c r="O142" s="55">
        <v>0</v>
      </c>
      <c r="P142" s="55">
        <v>0</v>
      </c>
      <c r="Q142" s="55">
        <v>0</v>
      </c>
      <c r="R142" s="55">
        <v>0</v>
      </c>
      <c r="S142" s="56"/>
    </row>
    <row r="143" spans="1:19" x14ac:dyDescent="0.25">
      <c r="A143" s="52">
        <v>130</v>
      </c>
      <c r="B143" s="58" t="s">
        <v>272</v>
      </c>
      <c r="C143" s="59" t="s">
        <v>273</v>
      </c>
      <c r="D143" s="55">
        <f t="shared" si="3"/>
        <v>0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0</v>
      </c>
      <c r="K143" s="55">
        <v>0</v>
      </c>
      <c r="L143" s="55">
        <v>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0</v>
      </c>
      <c r="S143" s="56"/>
    </row>
    <row r="144" spans="1:19" x14ac:dyDescent="0.25">
      <c r="A144" s="52">
        <v>131</v>
      </c>
      <c r="B144" s="58" t="s">
        <v>274</v>
      </c>
      <c r="C144" s="59" t="s">
        <v>275</v>
      </c>
      <c r="D144" s="55">
        <f t="shared" si="3"/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6"/>
    </row>
    <row r="145" spans="1:19" x14ac:dyDescent="0.25">
      <c r="A145" s="52">
        <v>132</v>
      </c>
      <c r="B145" s="60" t="s">
        <v>276</v>
      </c>
      <c r="C145" s="61" t="s">
        <v>277</v>
      </c>
      <c r="D145" s="55">
        <f t="shared" si="3"/>
        <v>20130</v>
      </c>
      <c r="E145" s="55">
        <v>15756</v>
      </c>
      <c r="F145" s="55">
        <v>3685</v>
      </c>
      <c r="G145" s="55">
        <v>376</v>
      </c>
      <c r="H145" s="55">
        <v>75</v>
      </c>
      <c r="I145" s="55">
        <v>0</v>
      </c>
      <c r="J145" s="55">
        <v>0</v>
      </c>
      <c r="K145" s="55">
        <v>13</v>
      </c>
      <c r="L145" s="55">
        <v>0</v>
      </c>
      <c r="M145" s="55">
        <v>11</v>
      </c>
      <c r="N145" s="55">
        <v>138</v>
      </c>
      <c r="O145" s="55">
        <v>0</v>
      </c>
      <c r="P145" s="55">
        <v>51</v>
      </c>
      <c r="Q145" s="55">
        <v>0</v>
      </c>
      <c r="R145" s="55">
        <v>25</v>
      </c>
      <c r="S145" s="56"/>
    </row>
    <row r="146" spans="1:19" x14ac:dyDescent="0.25">
      <c r="A146" s="52">
        <v>133</v>
      </c>
      <c r="B146" s="57" t="s">
        <v>278</v>
      </c>
      <c r="C146" s="61" t="s">
        <v>279</v>
      </c>
      <c r="D146" s="55">
        <f t="shared" si="3"/>
        <v>26910</v>
      </c>
      <c r="E146" s="55">
        <v>22648</v>
      </c>
      <c r="F146" s="55">
        <v>3046</v>
      </c>
      <c r="G146" s="55">
        <v>706</v>
      </c>
      <c r="H146" s="55">
        <v>188</v>
      </c>
      <c r="I146" s="55">
        <v>0</v>
      </c>
      <c r="J146" s="55">
        <v>0</v>
      </c>
      <c r="K146" s="55">
        <v>0</v>
      </c>
      <c r="L146" s="55">
        <v>4</v>
      </c>
      <c r="M146" s="55">
        <v>13</v>
      </c>
      <c r="N146" s="55">
        <v>0</v>
      </c>
      <c r="O146" s="55">
        <v>2</v>
      </c>
      <c r="P146" s="55">
        <v>0</v>
      </c>
      <c r="Q146" s="55">
        <v>266</v>
      </c>
      <c r="R146" s="55">
        <v>37</v>
      </c>
      <c r="S146" s="56"/>
    </row>
    <row r="147" spans="1:19" x14ac:dyDescent="0.25">
      <c r="A147" s="52">
        <v>134</v>
      </c>
      <c r="B147" s="58" t="s">
        <v>280</v>
      </c>
      <c r="C147" s="59" t="s">
        <v>281</v>
      </c>
      <c r="D147" s="55">
        <f t="shared" si="3"/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K147" s="55">
        <v>0</v>
      </c>
      <c r="L147" s="55">
        <v>0</v>
      </c>
      <c r="M147" s="55">
        <v>0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6"/>
    </row>
    <row r="148" spans="1:19" x14ac:dyDescent="0.25">
      <c r="A148" s="52">
        <v>135</v>
      </c>
      <c r="B148" s="53" t="s">
        <v>282</v>
      </c>
      <c r="C148" s="54" t="s">
        <v>283</v>
      </c>
      <c r="D148" s="55">
        <f t="shared" si="3"/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K148" s="55">
        <v>0</v>
      </c>
      <c r="L148" s="55">
        <v>0</v>
      </c>
      <c r="M148" s="55">
        <v>0</v>
      </c>
      <c r="N148" s="55">
        <v>0</v>
      </c>
      <c r="O148" s="55">
        <v>0</v>
      </c>
      <c r="P148" s="55">
        <v>0</v>
      </c>
      <c r="Q148" s="55">
        <v>0</v>
      </c>
      <c r="R148" s="55">
        <v>0</v>
      </c>
      <c r="S148" s="56"/>
    </row>
    <row r="149" spans="1:19" x14ac:dyDescent="0.25">
      <c r="A149" s="52">
        <v>136</v>
      </c>
      <c r="B149" s="58" t="s">
        <v>284</v>
      </c>
      <c r="C149" s="59" t="s">
        <v>285</v>
      </c>
      <c r="D149" s="55">
        <f t="shared" si="3"/>
        <v>0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K149" s="55">
        <v>0</v>
      </c>
      <c r="L149" s="55">
        <v>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6"/>
    </row>
    <row r="150" spans="1:19" x14ac:dyDescent="0.25">
      <c r="A150" s="52">
        <v>137</v>
      </c>
      <c r="B150" s="77" t="s">
        <v>387</v>
      </c>
      <c r="C150" s="468" t="s">
        <v>388</v>
      </c>
      <c r="D150" s="55">
        <f t="shared" si="3"/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6"/>
    </row>
    <row r="151" spans="1:19" x14ac:dyDescent="0.25">
      <c r="A151" s="52">
        <v>138</v>
      </c>
      <c r="B151" s="78" t="s">
        <v>389</v>
      </c>
      <c r="C151" s="469" t="s">
        <v>390</v>
      </c>
      <c r="D151" s="55">
        <f t="shared" si="3"/>
        <v>0</v>
      </c>
      <c r="E151" s="55">
        <v>0</v>
      </c>
      <c r="F151" s="55">
        <v>0</v>
      </c>
      <c r="G151" s="55">
        <v>0</v>
      </c>
      <c r="H151" s="55">
        <v>0</v>
      </c>
      <c r="I151" s="55">
        <v>0</v>
      </c>
      <c r="J151" s="55">
        <v>0</v>
      </c>
      <c r="K151" s="55">
        <v>0</v>
      </c>
      <c r="L151" s="55">
        <v>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0</v>
      </c>
      <c r="S151" s="56"/>
    </row>
    <row r="152" spans="1:19" x14ac:dyDescent="0.25">
      <c r="A152" s="52">
        <v>139</v>
      </c>
      <c r="B152" s="79" t="s">
        <v>391</v>
      </c>
      <c r="C152" s="887" t="s">
        <v>392</v>
      </c>
      <c r="D152" s="55">
        <f t="shared" si="3"/>
        <v>0</v>
      </c>
      <c r="E152" s="55">
        <v>0</v>
      </c>
      <c r="F152" s="55">
        <v>0</v>
      </c>
      <c r="G152" s="55">
        <v>0</v>
      </c>
      <c r="H152" s="55">
        <v>0</v>
      </c>
      <c r="I152" s="55">
        <v>0</v>
      </c>
      <c r="J152" s="55">
        <v>0</v>
      </c>
      <c r="K152" s="55">
        <v>0</v>
      </c>
      <c r="L152" s="55">
        <v>0</v>
      </c>
      <c r="M152" s="55">
        <v>0</v>
      </c>
      <c r="N152" s="55">
        <v>0</v>
      </c>
      <c r="O152" s="55">
        <v>0</v>
      </c>
      <c r="P152" s="55">
        <v>0</v>
      </c>
      <c r="Q152" s="55">
        <v>0</v>
      </c>
      <c r="R152" s="55">
        <v>0</v>
      </c>
      <c r="S152" s="56"/>
    </row>
    <row r="153" spans="1:19" x14ac:dyDescent="0.25">
      <c r="A153" s="52">
        <v>140</v>
      </c>
      <c r="B153" s="470" t="s">
        <v>393</v>
      </c>
      <c r="C153" s="471" t="s">
        <v>394</v>
      </c>
      <c r="D153" s="55">
        <f t="shared" si="3"/>
        <v>0</v>
      </c>
      <c r="E153" s="55">
        <v>0</v>
      </c>
      <c r="F153" s="55">
        <v>0</v>
      </c>
      <c r="G153" s="55">
        <v>0</v>
      </c>
      <c r="H153" s="55">
        <v>0</v>
      </c>
      <c r="I153" s="55">
        <v>0</v>
      </c>
      <c r="J153" s="55">
        <v>0</v>
      </c>
      <c r="K153" s="55">
        <v>0</v>
      </c>
      <c r="L153" s="55">
        <v>0</v>
      </c>
      <c r="M153" s="55">
        <v>0</v>
      </c>
      <c r="N153" s="55">
        <v>0</v>
      </c>
      <c r="O153" s="55">
        <v>0</v>
      </c>
      <c r="P153" s="55">
        <v>0</v>
      </c>
      <c r="Q153" s="55">
        <v>0</v>
      </c>
      <c r="R153" s="55">
        <v>0</v>
      </c>
      <c r="S153" s="56"/>
    </row>
  </sheetData>
  <mergeCells count="23">
    <mergeCell ref="N8:N9"/>
    <mergeCell ref="A94:A96"/>
    <mergeCell ref="B94:B96"/>
    <mergeCell ref="I8:I9"/>
    <mergeCell ref="J8:J9"/>
    <mergeCell ref="K8:K9"/>
    <mergeCell ref="A11:C11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O8:O9"/>
    <mergeCell ref="P8:P9"/>
    <mergeCell ref="Q8:Q9"/>
    <mergeCell ref="R8:R9"/>
    <mergeCell ref="L8:L9"/>
    <mergeCell ref="M8:M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53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E163" sqref="E163"/>
    </sheetView>
  </sheetViews>
  <sheetFormatPr defaultColWidth="10.7109375" defaultRowHeight="12.75" x14ac:dyDescent="0.2"/>
  <cols>
    <col min="1" max="1" width="7" style="888" customWidth="1"/>
    <col min="2" max="2" width="10.7109375" style="888"/>
    <col min="3" max="3" width="36.28515625" style="16" customWidth="1"/>
    <col min="4" max="6" width="15.7109375" style="16" customWidth="1"/>
    <col min="7" max="7" width="12.85546875" style="16" customWidth="1"/>
    <col min="8" max="8" width="16.7109375" style="16" customWidth="1"/>
    <col min="9" max="9" width="15.7109375" style="16" customWidth="1"/>
    <col min="10" max="10" width="17.42578125" style="16" customWidth="1"/>
    <col min="11" max="11" width="15.7109375" style="16" customWidth="1"/>
    <col min="12" max="12" width="10.7109375" style="16"/>
    <col min="13" max="13" width="20.5703125" style="16" customWidth="1"/>
    <col min="14" max="16384" width="10.7109375" style="16"/>
  </cols>
  <sheetData>
    <row r="1" spans="1:14" ht="32.25" customHeight="1" x14ac:dyDescent="0.2">
      <c r="B1" s="1061" t="s">
        <v>332</v>
      </c>
      <c r="C1" s="1061"/>
      <c r="D1" s="1061"/>
      <c r="E1" s="1061"/>
      <c r="F1" s="1061"/>
      <c r="G1" s="1061"/>
      <c r="H1" s="1061"/>
      <c r="I1" s="1061"/>
      <c r="J1" s="1061"/>
      <c r="K1" s="889"/>
    </row>
    <row r="2" spans="1:14" ht="9.75" customHeight="1" x14ac:dyDescent="0.2">
      <c r="C2" s="890"/>
    </row>
    <row r="3" spans="1:14" s="738" customFormat="1" ht="47.25" customHeight="1" x14ac:dyDescent="0.2">
      <c r="A3" s="1102" t="s">
        <v>0</v>
      </c>
      <c r="B3" s="1103" t="s">
        <v>302</v>
      </c>
      <c r="C3" s="1105" t="s">
        <v>2</v>
      </c>
      <c r="D3" s="1107" t="s">
        <v>303</v>
      </c>
      <c r="E3" s="1108"/>
      <c r="F3" s="1108"/>
      <c r="G3" s="1108"/>
      <c r="H3" s="1108"/>
      <c r="I3" s="1108"/>
      <c r="J3" s="1109"/>
    </row>
    <row r="4" spans="1:14" s="738" customFormat="1" ht="25.5" customHeight="1" x14ac:dyDescent="0.2">
      <c r="A4" s="1102"/>
      <c r="B4" s="1104"/>
      <c r="C4" s="1106"/>
      <c r="D4" s="1110" t="s">
        <v>304</v>
      </c>
      <c r="E4" s="1111"/>
      <c r="F4" s="1111"/>
      <c r="G4" s="1112" t="s">
        <v>305</v>
      </c>
      <c r="H4" s="1113"/>
      <c r="I4" s="1113"/>
      <c r="J4" s="1114"/>
    </row>
    <row r="5" spans="1:14" s="738" customFormat="1" ht="25.5" customHeight="1" x14ac:dyDescent="0.2">
      <c r="A5" s="1102"/>
      <c r="B5" s="1104"/>
      <c r="C5" s="1106"/>
      <c r="D5" s="1115" t="s">
        <v>306</v>
      </c>
      <c r="E5" s="1117" t="s">
        <v>307</v>
      </c>
      <c r="F5" s="1117"/>
      <c r="G5" s="1118" t="s">
        <v>356</v>
      </c>
      <c r="H5" s="1117" t="s">
        <v>307</v>
      </c>
      <c r="I5" s="1117"/>
      <c r="J5" s="1117"/>
    </row>
    <row r="6" spans="1:14" s="738" customFormat="1" ht="66.75" customHeight="1" x14ac:dyDescent="0.2">
      <c r="A6" s="1102"/>
      <c r="B6" s="1104"/>
      <c r="C6" s="1106"/>
      <c r="D6" s="1116"/>
      <c r="E6" s="891" t="s">
        <v>380</v>
      </c>
      <c r="F6" s="891" t="s">
        <v>379</v>
      </c>
      <c r="G6" s="1116"/>
      <c r="H6" s="891" t="s">
        <v>381</v>
      </c>
      <c r="I6" s="891" t="s">
        <v>382</v>
      </c>
      <c r="J6" s="891" t="s">
        <v>383</v>
      </c>
    </row>
    <row r="7" spans="1:14" s="738" customFormat="1" ht="12.75" customHeight="1" x14ac:dyDescent="0.2">
      <c r="A7" s="892">
        <v>1</v>
      </c>
      <c r="B7" s="821">
        <v>2</v>
      </c>
      <c r="C7" s="822">
        <v>3</v>
      </c>
      <c r="D7" s="893">
        <v>4</v>
      </c>
      <c r="E7" s="894">
        <v>5</v>
      </c>
      <c r="F7" s="894">
        <v>6</v>
      </c>
      <c r="G7" s="894">
        <v>7</v>
      </c>
      <c r="H7" s="895">
        <v>8</v>
      </c>
      <c r="I7" s="895">
        <v>9</v>
      </c>
      <c r="J7" s="895">
        <v>10</v>
      </c>
    </row>
    <row r="8" spans="1:14" s="738" customFormat="1" ht="21" customHeight="1" x14ac:dyDescent="0.2">
      <c r="A8" s="1094" t="s">
        <v>308</v>
      </c>
      <c r="B8" s="1094"/>
      <c r="C8" s="1094"/>
      <c r="D8" s="896">
        <f>SUM(D9:D146)</f>
        <v>370242</v>
      </c>
      <c r="E8" s="896">
        <f t="shared" ref="E8:J8" si="0">SUM(E9:E146)</f>
        <v>125703</v>
      </c>
      <c r="F8" s="896">
        <f t="shared" si="0"/>
        <v>125703</v>
      </c>
      <c r="G8" s="896">
        <f t="shared" si="0"/>
        <v>37710</v>
      </c>
      <c r="H8" s="896">
        <f t="shared" si="0"/>
        <v>12570</v>
      </c>
      <c r="I8" s="896">
        <f t="shared" si="0"/>
        <v>12570</v>
      </c>
      <c r="J8" s="896">
        <f t="shared" si="0"/>
        <v>12570</v>
      </c>
    </row>
    <row r="9" spans="1:14" x14ac:dyDescent="0.2">
      <c r="A9" s="80">
        <v>1</v>
      </c>
      <c r="B9" s="897" t="s">
        <v>16</v>
      </c>
      <c r="C9" s="45" t="s">
        <v>17</v>
      </c>
      <c r="D9" s="765">
        <v>1855</v>
      </c>
      <c r="E9" s="765">
        <v>1729</v>
      </c>
      <c r="F9" s="765">
        <v>1729</v>
      </c>
      <c r="G9" s="765">
        <v>519</v>
      </c>
      <c r="H9" s="765">
        <v>173</v>
      </c>
      <c r="I9" s="765">
        <v>173</v>
      </c>
      <c r="J9" s="765">
        <v>173</v>
      </c>
      <c r="M9" s="898"/>
      <c r="N9" s="898"/>
    </row>
    <row r="10" spans="1:14" x14ac:dyDescent="0.2">
      <c r="A10" s="80">
        <v>2</v>
      </c>
      <c r="B10" s="899" t="s">
        <v>18</v>
      </c>
      <c r="C10" s="45" t="s">
        <v>19</v>
      </c>
      <c r="D10" s="765">
        <v>1867</v>
      </c>
      <c r="E10" s="765">
        <v>513</v>
      </c>
      <c r="F10" s="765">
        <v>513</v>
      </c>
      <c r="G10" s="765">
        <v>153</v>
      </c>
      <c r="H10" s="765">
        <v>51</v>
      </c>
      <c r="I10" s="765">
        <v>51</v>
      </c>
      <c r="J10" s="765">
        <v>51</v>
      </c>
      <c r="M10" s="898"/>
      <c r="N10" s="898"/>
    </row>
    <row r="11" spans="1:14" x14ac:dyDescent="0.2">
      <c r="A11" s="80">
        <v>3</v>
      </c>
      <c r="B11" s="900" t="s">
        <v>20</v>
      </c>
      <c r="C11" s="4" t="s">
        <v>21</v>
      </c>
      <c r="D11" s="765">
        <v>5561</v>
      </c>
      <c r="E11" s="765">
        <v>1221</v>
      </c>
      <c r="F11" s="765">
        <v>1221</v>
      </c>
      <c r="G11" s="765">
        <v>366</v>
      </c>
      <c r="H11" s="765">
        <v>122</v>
      </c>
      <c r="I11" s="765">
        <v>122</v>
      </c>
      <c r="J11" s="765">
        <v>122</v>
      </c>
      <c r="M11" s="898"/>
      <c r="N11" s="898"/>
    </row>
    <row r="12" spans="1:14" x14ac:dyDescent="0.2">
      <c r="A12" s="80">
        <v>4</v>
      </c>
      <c r="B12" s="897" t="s">
        <v>22</v>
      </c>
      <c r="C12" s="45" t="s">
        <v>23</v>
      </c>
      <c r="D12" s="765">
        <v>1724</v>
      </c>
      <c r="E12" s="765">
        <v>772</v>
      </c>
      <c r="F12" s="765">
        <v>772</v>
      </c>
      <c r="G12" s="765">
        <v>231</v>
      </c>
      <c r="H12" s="765">
        <v>77</v>
      </c>
      <c r="I12" s="765">
        <v>77</v>
      </c>
      <c r="J12" s="765">
        <v>77</v>
      </c>
      <c r="M12" s="898"/>
      <c r="N12" s="898"/>
    </row>
    <row r="13" spans="1:14" x14ac:dyDescent="0.2">
      <c r="A13" s="80">
        <v>5</v>
      </c>
      <c r="B13" s="897" t="s">
        <v>24</v>
      </c>
      <c r="C13" s="45" t="s">
        <v>25</v>
      </c>
      <c r="D13" s="765">
        <v>1481</v>
      </c>
      <c r="E13" s="765">
        <v>333</v>
      </c>
      <c r="F13" s="765">
        <v>333</v>
      </c>
      <c r="G13" s="765">
        <v>99</v>
      </c>
      <c r="H13" s="765">
        <v>33</v>
      </c>
      <c r="I13" s="765">
        <v>33</v>
      </c>
      <c r="J13" s="765">
        <v>33</v>
      </c>
      <c r="M13" s="898"/>
      <c r="N13" s="898"/>
    </row>
    <row r="14" spans="1:14" x14ac:dyDescent="0.2">
      <c r="A14" s="80">
        <v>6</v>
      </c>
      <c r="B14" s="900" t="s">
        <v>26</v>
      </c>
      <c r="C14" s="4" t="s">
        <v>27</v>
      </c>
      <c r="D14" s="765">
        <v>10094</v>
      </c>
      <c r="E14" s="765">
        <v>2322</v>
      </c>
      <c r="F14" s="765">
        <v>2322</v>
      </c>
      <c r="G14" s="765">
        <v>696</v>
      </c>
      <c r="H14" s="765">
        <v>232</v>
      </c>
      <c r="I14" s="765">
        <v>232</v>
      </c>
      <c r="J14" s="765">
        <v>232</v>
      </c>
      <c r="M14" s="898"/>
      <c r="N14" s="898"/>
    </row>
    <row r="15" spans="1:14" x14ac:dyDescent="0.2">
      <c r="A15" s="80">
        <v>7</v>
      </c>
      <c r="B15" s="901" t="s">
        <v>28</v>
      </c>
      <c r="C15" s="369" t="s">
        <v>29</v>
      </c>
      <c r="D15" s="765">
        <v>7459</v>
      </c>
      <c r="E15" s="765">
        <v>1107</v>
      </c>
      <c r="F15" s="765">
        <v>1107</v>
      </c>
      <c r="G15" s="765">
        <v>333</v>
      </c>
      <c r="H15" s="765">
        <v>111</v>
      </c>
      <c r="I15" s="765">
        <v>111</v>
      </c>
      <c r="J15" s="765">
        <v>111</v>
      </c>
      <c r="M15" s="898"/>
      <c r="N15" s="898"/>
    </row>
    <row r="16" spans="1:14" x14ac:dyDescent="0.2">
      <c r="A16" s="80">
        <v>8</v>
      </c>
      <c r="B16" s="900" t="s">
        <v>30</v>
      </c>
      <c r="C16" s="4" t="s">
        <v>31</v>
      </c>
      <c r="D16" s="765">
        <v>1855</v>
      </c>
      <c r="E16" s="765">
        <v>297</v>
      </c>
      <c r="F16" s="765">
        <v>297</v>
      </c>
      <c r="G16" s="765">
        <v>90</v>
      </c>
      <c r="H16" s="765">
        <v>30</v>
      </c>
      <c r="I16" s="765">
        <v>30</v>
      </c>
      <c r="J16" s="765">
        <v>30</v>
      </c>
      <c r="M16" s="898"/>
      <c r="N16" s="898"/>
    </row>
    <row r="17" spans="1:14" x14ac:dyDescent="0.2">
      <c r="A17" s="80">
        <v>9</v>
      </c>
      <c r="B17" s="900" t="s">
        <v>32</v>
      </c>
      <c r="C17" s="4" t="s">
        <v>33</v>
      </c>
      <c r="D17" s="765">
        <v>2065</v>
      </c>
      <c r="E17" s="765">
        <v>1391</v>
      </c>
      <c r="F17" s="765">
        <v>1391</v>
      </c>
      <c r="G17" s="765">
        <v>417</v>
      </c>
      <c r="H17" s="765">
        <v>139</v>
      </c>
      <c r="I17" s="765">
        <v>139</v>
      </c>
      <c r="J17" s="765">
        <v>139</v>
      </c>
      <c r="M17" s="898"/>
      <c r="N17" s="898"/>
    </row>
    <row r="18" spans="1:14" x14ac:dyDescent="0.2">
      <c r="A18" s="80">
        <v>10</v>
      </c>
      <c r="B18" s="900" t="s">
        <v>34</v>
      </c>
      <c r="C18" s="4" t="s">
        <v>35</v>
      </c>
      <c r="D18" s="765">
        <v>2290</v>
      </c>
      <c r="E18" s="765">
        <v>251</v>
      </c>
      <c r="F18" s="765">
        <v>251</v>
      </c>
      <c r="G18" s="765">
        <v>75</v>
      </c>
      <c r="H18" s="765">
        <v>25</v>
      </c>
      <c r="I18" s="765">
        <v>25</v>
      </c>
      <c r="J18" s="765">
        <v>25</v>
      </c>
      <c r="M18" s="898"/>
      <c r="N18" s="898"/>
    </row>
    <row r="19" spans="1:14" x14ac:dyDescent="0.2">
      <c r="A19" s="80">
        <v>11</v>
      </c>
      <c r="B19" s="900" t="s">
        <v>36</v>
      </c>
      <c r="C19" s="4" t="s">
        <v>37</v>
      </c>
      <c r="D19" s="765">
        <v>1619</v>
      </c>
      <c r="E19" s="765">
        <v>370</v>
      </c>
      <c r="F19" s="765">
        <v>370</v>
      </c>
      <c r="G19" s="765">
        <v>111</v>
      </c>
      <c r="H19" s="765">
        <v>37</v>
      </c>
      <c r="I19" s="765">
        <v>37</v>
      </c>
      <c r="J19" s="765">
        <v>37</v>
      </c>
      <c r="M19" s="898"/>
      <c r="N19" s="898"/>
    </row>
    <row r="20" spans="1:14" x14ac:dyDescent="0.2">
      <c r="A20" s="80">
        <v>12</v>
      </c>
      <c r="B20" s="900" t="s">
        <v>38</v>
      </c>
      <c r="C20" s="4" t="s">
        <v>39</v>
      </c>
      <c r="D20" s="765">
        <v>4547</v>
      </c>
      <c r="E20" s="765">
        <v>798</v>
      </c>
      <c r="F20" s="765">
        <v>798</v>
      </c>
      <c r="G20" s="765">
        <v>240</v>
      </c>
      <c r="H20" s="765">
        <v>80</v>
      </c>
      <c r="I20" s="765">
        <v>80</v>
      </c>
      <c r="J20" s="765">
        <v>80</v>
      </c>
      <c r="M20" s="898"/>
      <c r="N20" s="898"/>
    </row>
    <row r="21" spans="1:14" x14ac:dyDescent="0.2">
      <c r="A21" s="80">
        <v>13</v>
      </c>
      <c r="B21" s="900" t="s">
        <v>40</v>
      </c>
      <c r="C21" s="45" t="s">
        <v>41</v>
      </c>
      <c r="D21" s="765">
        <v>0</v>
      </c>
      <c r="E21" s="765">
        <v>0</v>
      </c>
      <c r="F21" s="765">
        <v>0</v>
      </c>
      <c r="G21" s="765">
        <v>0</v>
      </c>
      <c r="H21" s="765">
        <v>0</v>
      </c>
      <c r="I21" s="765">
        <v>0</v>
      </c>
      <c r="J21" s="765">
        <v>0</v>
      </c>
      <c r="M21" s="898"/>
      <c r="N21" s="898"/>
    </row>
    <row r="22" spans="1:14" x14ac:dyDescent="0.2">
      <c r="A22" s="80">
        <v>14</v>
      </c>
      <c r="B22" s="897" t="s">
        <v>42</v>
      </c>
      <c r="C22" s="4" t="s">
        <v>43</v>
      </c>
      <c r="D22" s="765">
        <v>0</v>
      </c>
      <c r="E22" s="765">
        <v>0</v>
      </c>
      <c r="F22" s="765">
        <v>0</v>
      </c>
      <c r="G22" s="765">
        <v>0</v>
      </c>
      <c r="H22" s="765">
        <v>0</v>
      </c>
      <c r="I22" s="765">
        <v>0</v>
      </c>
      <c r="J22" s="765">
        <v>0</v>
      </c>
      <c r="M22" s="898"/>
      <c r="N22" s="898"/>
    </row>
    <row r="23" spans="1:14" x14ac:dyDescent="0.2">
      <c r="A23" s="80">
        <v>15</v>
      </c>
      <c r="B23" s="900" t="s">
        <v>44</v>
      </c>
      <c r="C23" s="4" t="s">
        <v>45</v>
      </c>
      <c r="D23" s="765">
        <v>1120</v>
      </c>
      <c r="E23" s="765">
        <v>865</v>
      </c>
      <c r="F23" s="765">
        <v>865</v>
      </c>
      <c r="G23" s="765">
        <v>261</v>
      </c>
      <c r="H23" s="765">
        <v>87</v>
      </c>
      <c r="I23" s="765">
        <v>87</v>
      </c>
      <c r="J23" s="765">
        <v>87</v>
      </c>
      <c r="M23" s="898"/>
      <c r="N23" s="898"/>
    </row>
    <row r="24" spans="1:14" x14ac:dyDescent="0.2">
      <c r="A24" s="80">
        <v>16</v>
      </c>
      <c r="B24" s="900" t="s">
        <v>46</v>
      </c>
      <c r="C24" s="4" t="s">
        <v>47</v>
      </c>
      <c r="D24" s="765">
        <v>2446</v>
      </c>
      <c r="E24" s="765">
        <v>660</v>
      </c>
      <c r="F24" s="765">
        <v>660</v>
      </c>
      <c r="G24" s="765">
        <v>198</v>
      </c>
      <c r="H24" s="765">
        <v>66</v>
      </c>
      <c r="I24" s="765">
        <v>66</v>
      </c>
      <c r="J24" s="765">
        <v>66</v>
      </c>
      <c r="M24" s="898"/>
      <c r="N24" s="898"/>
    </row>
    <row r="25" spans="1:14" x14ac:dyDescent="0.2">
      <c r="A25" s="80">
        <v>17</v>
      </c>
      <c r="B25" s="900" t="s">
        <v>48</v>
      </c>
      <c r="C25" s="4" t="s">
        <v>49</v>
      </c>
      <c r="D25" s="765">
        <v>3695</v>
      </c>
      <c r="E25" s="765">
        <v>1519</v>
      </c>
      <c r="F25" s="765">
        <v>1519</v>
      </c>
      <c r="G25" s="765">
        <v>456</v>
      </c>
      <c r="H25" s="765">
        <v>152</v>
      </c>
      <c r="I25" s="765">
        <v>152</v>
      </c>
      <c r="J25" s="765">
        <v>152</v>
      </c>
      <c r="M25" s="898"/>
      <c r="N25" s="898"/>
    </row>
    <row r="26" spans="1:14" x14ac:dyDescent="0.2">
      <c r="A26" s="80">
        <v>18</v>
      </c>
      <c r="B26" s="900" t="s">
        <v>50</v>
      </c>
      <c r="C26" s="4" t="s">
        <v>51</v>
      </c>
      <c r="D26" s="765">
        <v>9303</v>
      </c>
      <c r="E26" s="765">
        <v>2958</v>
      </c>
      <c r="F26" s="765">
        <v>2958</v>
      </c>
      <c r="G26" s="765">
        <v>888</v>
      </c>
      <c r="H26" s="765">
        <v>296</v>
      </c>
      <c r="I26" s="765">
        <v>296</v>
      </c>
      <c r="J26" s="765">
        <v>296</v>
      </c>
      <c r="M26" s="898"/>
      <c r="N26" s="898"/>
    </row>
    <row r="27" spans="1:14" x14ac:dyDescent="0.2">
      <c r="A27" s="80">
        <v>19</v>
      </c>
      <c r="B27" s="897" t="s">
        <v>52</v>
      </c>
      <c r="C27" s="45" t="s">
        <v>53</v>
      </c>
      <c r="D27" s="765">
        <v>1308</v>
      </c>
      <c r="E27" s="765">
        <v>849</v>
      </c>
      <c r="F27" s="765">
        <v>849</v>
      </c>
      <c r="G27" s="765">
        <v>255</v>
      </c>
      <c r="H27" s="765">
        <v>85</v>
      </c>
      <c r="I27" s="765">
        <v>85</v>
      </c>
      <c r="J27" s="765">
        <v>85</v>
      </c>
      <c r="M27" s="898"/>
      <c r="N27" s="898"/>
    </row>
    <row r="28" spans="1:14" x14ac:dyDescent="0.2">
      <c r="A28" s="80">
        <v>20</v>
      </c>
      <c r="B28" s="897" t="s">
        <v>54</v>
      </c>
      <c r="C28" s="45" t="s">
        <v>55</v>
      </c>
      <c r="D28" s="765">
        <v>894</v>
      </c>
      <c r="E28" s="765">
        <v>395</v>
      </c>
      <c r="F28" s="765">
        <v>395</v>
      </c>
      <c r="G28" s="765">
        <v>120</v>
      </c>
      <c r="H28" s="765">
        <v>40</v>
      </c>
      <c r="I28" s="765">
        <v>40</v>
      </c>
      <c r="J28" s="765">
        <v>40</v>
      </c>
      <c r="M28" s="898"/>
      <c r="N28" s="898"/>
    </row>
    <row r="29" spans="1:14" x14ac:dyDescent="0.2">
      <c r="A29" s="80">
        <v>21</v>
      </c>
      <c r="B29" s="897" t="s">
        <v>56</v>
      </c>
      <c r="C29" s="45" t="s">
        <v>57</v>
      </c>
      <c r="D29" s="765">
        <v>5295</v>
      </c>
      <c r="E29" s="765">
        <v>1431</v>
      </c>
      <c r="F29" s="765">
        <v>1431</v>
      </c>
      <c r="G29" s="765">
        <v>429</v>
      </c>
      <c r="H29" s="765">
        <v>143</v>
      </c>
      <c r="I29" s="765">
        <v>143</v>
      </c>
      <c r="J29" s="765">
        <v>143</v>
      </c>
      <c r="M29" s="898"/>
      <c r="N29" s="898"/>
    </row>
    <row r="30" spans="1:14" x14ac:dyDescent="0.2">
      <c r="A30" s="80">
        <v>22</v>
      </c>
      <c r="B30" s="897" t="s">
        <v>58</v>
      </c>
      <c r="C30" s="45" t="s">
        <v>59</v>
      </c>
      <c r="D30" s="765">
        <v>6679</v>
      </c>
      <c r="E30" s="765">
        <v>1184</v>
      </c>
      <c r="F30" s="765">
        <v>1184</v>
      </c>
      <c r="G30" s="765">
        <v>354</v>
      </c>
      <c r="H30" s="765">
        <v>118</v>
      </c>
      <c r="I30" s="765">
        <v>118</v>
      </c>
      <c r="J30" s="765">
        <v>118</v>
      </c>
      <c r="M30" s="898"/>
      <c r="N30" s="898"/>
    </row>
    <row r="31" spans="1:14" x14ac:dyDescent="0.2">
      <c r="A31" s="80">
        <v>23</v>
      </c>
      <c r="B31" s="900" t="s">
        <v>60</v>
      </c>
      <c r="C31" s="4" t="s">
        <v>61</v>
      </c>
      <c r="D31" s="765">
        <v>1177</v>
      </c>
      <c r="E31" s="765">
        <v>159</v>
      </c>
      <c r="F31" s="765">
        <v>159</v>
      </c>
      <c r="G31" s="765">
        <v>48</v>
      </c>
      <c r="H31" s="765">
        <v>16</v>
      </c>
      <c r="I31" s="765">
        <v>16</v>
      </c>
      <c r="J31" s="765">
        <v>16</v>
      </c>
      <c r="M31" s="898"/>
      <c r="N31" s="898"/>
    </row>
    <row r="32" spans="1:14" x14ac:dyDescent="0.2">
      <c r="A32" s="80">
        <v>24</v>
      </c>
      <c r="B32" s="900" t="s">
        <v>62</v>
      </c>
      <c r="C32" s="4" t="s">
        <v>63</v>
      </c>
      <c r="D32" s="765">
        <v>0</v>
      </c>
      <c r="E32" s="765">
        <v>0</v>
      </c>
      <c r="F32" s="765">
        <v>0</v>
      </c>
      <c r="G32" s="765">
        <v>0</v>
      </c>
      <c r="H32" s="765">
        <v>0</v>
      </c>
      <c r="I32" s="765">
        <v>0</v>
      </c>
      <c r="J32" s="765">
        <v>0</v>
      </c>
      <c r="M32" s="898"/>
      <c r="N32" s="898"/>
    </row>
    <row r="33" spans="1:14" ht="25.5" x14ac:dyDescent="0.2">
      <c r="A33" s="80">
        <v>25</v>
      </c>
      <c r="B33" s="900" t="s">
        <v>64</v>
      </c>
      <c r="C33" s="4" t="s">
        <v>65</v>
      </c>
      <c r="D33" s="765">
        <v>0</v>
      </c>
      <c r="E33" s="765">
        <v>0</v>
      </c>
      <c r="F33" s="765">
        <v>0</v>
      </c>
      <c r="G33" s="765">
        <v>0</v>
      </c>
      <c r="H33" s="765">
        <v>0</v>
      </c>
      <c r="I33" s="765">
        <v>0</v>
      </c>
      <c r="J33" s="765">
        <v>0</v>
      </c>
      <c r="M33" s="898"/>
      <c r="N33" s="898"/>
    </row>
    <row r="34" spans="1:14" x14ac:dyDescent="0.2">
      <c r="A34" s="80">
        <v>26</v>
      </c>
      <c r="B34" s="897" t="s">
        <v>66</v>
      </c>
      <c r="C34" s="369" t="s">
        <v>67</v>
      </c>
      <c r="D34" s="765">
        <v>15129</v>
      </c>
      <c r="E34" s="765">
        <v>8182</v>
      </c>
      <c r="F34" s="765">
        <v>8182</v>
      </c>
      <c r="G34" s="765">
        <v>2454</v>
      </c>
      <c r="H34" s="765">
        <v>818</v>
      </c>
      <c r="I34" s="765">
        <v>818</v>
      </c>
      <c r="J34" s="765">
        <v>818</v>
      </c>
      <c r="M34" s="898"/>
      <c r="N34" s="898"/>
    </row>
    <row r="35" spans="1:14" x14ac:dyDescent="0.2">
      <c r="A35" s="80">
        <v>27</v>
      </c>
      <c r="B35" s="900" t="s">
        <v>68</v>
      </c>
      <c r="C35" s="4" t="s">
        <v>69</v>
      </c>
      <c r="D35" s="765">
        <v>3831</v>
      </c>
      <c r="E35" s="765">
        <v>970</v>
      </c>
      <c r="F35" s="765">
        <v>970</v>
      </c>
      <c r="G35" s="765">
        <v>291</v>
      </c>
      <c r="H35" s="765">
        <v>97</v>
      </c>
      <c r="I35" s="765">
        <v>97</v>
      </c>
      <c r="J35" s="765">
        <v>97</v>
      </c>
      <c r="M35" s="898"/>
      <c r="N35" s="898"/>
    </row>
    <row r="36" spans="1:14" x14ac:dyDescent="0.2">
      <c r="A36" s="80">
        <v>28</v>
      </c>
      <c r="B36" s="900" t="s">
        <v>70</v>
      </c>
      <c r="C36" s="4" t="s">
        <v>71</v>
      </c>
      <c r="D36" s="765">
        <v>0</v>
      </c>
      <c r="E36" s="765">
        <v>0</v>
      </c>
      <c r="F36" s="765">
        <v>0</v>
      </c>
      <c r="G36" s="765">
        <v>0</v>
      </c>
      <c r="H36" s="765">
        <v>0</v>
      </c>
      <c r="I36" s="765">
        <v>0</v>
      </c>
      <c r="J36" s="765">
        <v>0</v>
      </c>
      <c r="M36" s="898"/>
      <c r="N36" s="898"/>
    </row>
    <row r="37" spans="1:14" x14ac:dyDescent="0.2">
      <c r="A37" s="80">
        <v>29</v>
      </c>
      <c r="B37" s="899" t="s">
        <v>72</v>
      </c>
      <c r="C37" s="369" t="s">
        <v>73</v>
      </c>
      <c r="D37" s="765">
        <v>0</v>
      </c>
      <c r="E37" s="765">
        <v>0</v>
      </c>
      <c r="F37" s="765">
        <v>0</v>
      </c>
      <c r="G37" s="765">
        <v>0</v>
      </c>
      <c r="H37" s="765">
        <v>0</v>
      </c>
      <c r="I37" s="765">
        <v>0</v>
      </c>
      <c r="J37" s="765">
        <v>0</v>
      </c>
      <c r="M37" s="898"/>
      <c r="N37" s="898"/>
    </row>
    <row r="38" spans="1:14" x14ac:dyDescent="0.2">
      <c r="A38" s="80">
        <v>30</v>
      </c>
      <c r="B38" s="897" t="s">
        <v>74</v>
      </c>
      <c r="C38" s="45" t="s">
        <v>357</v>
      </c>
      <c r="D38" s="765">
        <v>0</v>
      </c>
      <c r="E38" s="765">
        <v>0</v>
      </c>
      <c r="F38" s="765">
        <v>0</v>
      </c>
      <c r="G38" s="765">
        <v>0</v>
      </c>
      <c r="H38" s="765">
        <v>0</v>
      </c>
      <c r="I38" s="765">
        <v>0</v>
      </c>
      <c r="J38" s="765">
        <v>0</v>
      </c>
      <c r="M38" s="898"/>
      <c r="N38" s="898"/>
    </row>
    <row r="39" spans="1:14" x14ac:dyDescent="0.2">
      <c r="A39" s="80">
        <v>31</v>
      </c>
      <c r="B39" s="900" t="s">
        <v>75</v>
      </c>
      <c r="C39" s="4" t="s">
        <v>76</v>
      </c>
      <c r="D39" s="765">
        <v>1141</v>
      </c>
      <c r="E39" s="765">
        <v>266</v>
      </c>
      <c r="F39" s="765">
        <v>266</v>
      </c>
      <c r="G39" s="765">
        <v>81</v>
      </c>
      <c r="H39" s="765">
        <v>27</v>
      </c>
      <c r="I39" s="765">
        <v>27</v>
      </c>
      <c r="J39" s="765">
        <v>27</v>
      </c>
      <c r="M39" s="898"/>
      <c r="N39" s="898"/>
    </row>
    <row r="40" spans="1:14" x14ac:dyDescent="0.2">
      <c r="A40" s="80">
        <v>32</v>
      </c>
      <c r="B40" s="899" t="s">
        <v>77</v>
      </c>
      <c r="C40" s="45" t="s">
        <v>78</v>
      </c>
      <c r="D40" s="765">
        <v>6434</v>
      </c>
      <c r="E40" s="765">
        <v>1122</v>
      </c>
      <c r="F40" s="765">
        <v>1122</v>
      </c>
      <c r="G40" s="765">
        <v>336</v>
      </c>
      <c r="H40" s="765">
        <v>112</v>
      </c>
      <c r="I40" s="765">
        <v>112</v>
      </c>
      <c r="J40" s="765">
        <v>112</v>
      </c>
      <c r="M40" s="898"/>
      <c r="N40" s="898"/>
    </row>
    <row r="41" spans="1:14" x14ac:dyDescent="0.2">
      <c r="A41" s="80">
        <v>33</v>
      </c>
      <c r="B41" s="901" t="s">
        <v>79</v>
      </c>
      <c r="C41" s="369" t="s">
        <v>80</v>
      </c>
      <c r="D41" s="765">
        <v>13810</v>
      </c>
      <c r="E41" s="765">
        <v>991</v>
      </c>
      <c r="F41" s="765">
        <v>991</v>
      </c>
      <c r="G41" s="765">
        <v>297</v>
      </c>
      <c r="H41" s="765">
        <v>99</v>
      </c>
      <c r="I41" s="765">
        <v>99</v>
      </c>
      <c r="J41" s="765">
        <v>99</v>
      </c>
      <c r="M41" s="898"/>
      <c r="N41" s="898"/>
    </row>
    <row r="42" spans="1:14" x14ac:dyDescent="0.2">
      <c r="A42" s="80">
        <v>34</v>
      </c>
      <c r="B42" s="899" t="s">
        <v>81</v>
      </c>
      <c r="C42" s="45" t="s">
        <v>82</v>
      </c>
      <c r="D42" s="765">
        <v>2397</v>
      </c>
      <c r="E42" s="765">
        <v>613</v>
      </c>
      <c r="F42" s="765">
        <v>613</v>
      </c>
      <c r="G42" s="765">
        <v>183</v>
      </c>
      <c r="H42" s="765">
        <v>61</v>
      </c>
      <c r="I42" s="765">
        <v>61</v>
      </c>
      <c r="J42" s="765">
        <v>61</v>
      </c>
      <c r="M42" s="898"/>
      <c r="N42" s="898"/>
    </row>
    <row r="43" spans="1:14" x14ac:dyDescent="0.2">
      <c r="A43" s="80">
        <v>35</v>
      </c>
      <c r="B43" s="900" t="s">
        <v>83</v>
      </c>
      <c r="C43" s="4" t="s">
        <v>84</v>
      </c>
      <c r="D43" s="765">
        <v>5724</v>
      </c>
      <c r="E43" s="765">
        <v>1057</v>
      </c>
      <c r="F43" s="765">
        <v>1057</v>
      </c>
      <c r="G43" s="765">
        <v>318</v>
      </c>
      <c r="H43" s="765">
        <v>106</v>
      </c>
      <c r="I43" s="765">
        <v>106</v>
      </c>
      <c r="J43" s="765">
        <v>106</v>
      </c>
      <c r="M43" s="898"/>
      <c r="N43" s="898"/>
    </row>
    <row r="44" spans="1:14" x14ac:dyDescent="0.2">
      <c r="A44" s="80">
        <v>36</v>
      </c>
      <c r="B44" s="899" t="s">
        <v>85</v>
      </c>
      <c r="C44" s="45" t="s">
        <v>86</v>
      </c>
      <c r="D44" s="765">
        <v>2206</v>
      </c>
      <c r="E44" s="765">
        <v>1600</v>
      </c>
      <c r="F44" s="765">
        <v>1600</v>
      </c>
      <c r="G44" s="765">
        <v>480</v>
      </c>
      <c r="H44" s="765">
        <v>160</v>
      </c>
      <c r="I44" s="765">
        <v>160</v>
      </c>
      <c r="J44" s="765">
        <v>160</v>
      </c>
      <c r="M44" s="898"/>
      <c r="N44" s="898"/>
    </row>
    <row r="45" spans="1:14" x14ac:dyDescent="0.2">
      <c r="A45" s="80">
        <v>37</v>
      </c>
      <c r="B45" s="897" t="s">
        <v>87</v>
      </c>
      <c r="C45" s="45" t="s">
        <v>88</v>
      </c>
      <c r="D45" s="765">
        <v>6475</v>
      </c>
      <c r="E45" s="765">
        <v>1073</v>
      </c>
      <c r="F45" s="765">
        <v>1073</v>
      </c>
      <c r="G45" s="765">
        <v>321</v>
      </c>
      <c r="H45" s="765">
        <v>107</v>
      </c>
      <c r="I45" s="765">
        <v>107</v>
      </c>
      <c r="J45" s="765">
        <v>107</v>
      </c>
      <c r="M45" s="898"/>
      <c r="N45" s="898"/>
    </row>
    <row r="46" spans="1:14" x14ac:dyDescent="0.2">
      <c r="A46" s="80">
        <v>38</v>
      </c>
      <c r="B46" s="902" t="s">
        <v>89</v>
      </c>
      <c r="C46" s="903" t="s">
        <v>90</v>
      </c>
      <c r="D46" s="765">
        <v>1898</v>
      </c>
      <c r="E46" s="765">
        <v>309</v>
      </c>
      <c r="F46" s="765">
        <v>309</v>
      </c>
      <c r="G46" s="765">
        <v>93</v>
      </c>
      <c r="H46" s="765">
        <v>31</v>
      </c>
      <c r="I46" s="765">
        <v>31</v>
      </c>
      <c r="J46" s="765">
        <v>31</v>
      </c>
      <c r="M46" s="898"/>
      <c r="N46" s="898"/>
    </row>
    <row r="47" spans="1:14" x14ac:dyDescent="0.2">
      <c r="A47" s="80">
        <v>39</v>
      </c>
      <c r="B47" s="897" t="s">
        <v>91</v>
      </c>
      <c r="C47" s="45" t="s">
        <v>92</v>
      </c>
      <c r="D47" s="765">
        <v>1102</v>
      </c>
      <c r="E47" s="765">
        <v>467</v>
      </c>
      <c r="F47" s="765">
        <v>467</v>
      </c>
      <c r="G47" s="765">
        <v>141</v>
      </c>
      <c r="H47" s="765">
        <v>47</v>
      </c>
      <c r="I47" s="765">
        <v>47</v>
      </c>
      <c r="J47" s="765">
        <v>47</v>
      </c>
      <c r="M47" s="898"/>
      <c r="N47" s="898"/>
    </row>
    <row r="48" spans="1:14" x14ac:dyDescent="0.2">
      <c r="A48" s="80">
        <v>40</v>
      </c>
      <c r="B48" s="901" t="s">
        <v>93</v>
      </c>
      <c r="C48" s="369" t="s">
        <v>94</v>
      </c>
      <c r="D48" s="765">
        <v>1954</v>
      </c>
      <c r="E48" s="765">
        <v>675</v>
      </c>
      <c r="F48" s="765">
        <v>675</v>
      </c>
      <c r="G48" s="765">
        <v>204</v>
      </c>
      <c r="H48" s="765">
        <v>68</v>
      </c>
      <c r="I48" s="765">
        <v>68</v>
      </c>
      <c r="J48" s="765">
        <v>68</v>
      </c>
      <c r="M48" s="898"/>
      <c r="N48" s="898"/>
    </row>
    <row r="49" spans="1:14" x14ac:dyDescent="0.2">
      <c r="A49" s="80">
        <v>41</v>
      </c>
      <c r="B49" s="900" t="s">
        <v>95</v>
      </c>
      <c r="C49" s="4" t="s">
        <v>96</v>
      </c>
      <c r="D49" s="765">
        <v>1237</v>
      </c>
      <c r="E49" s="765">
        <v>267</v>
      </c>
      <c r="F49" s="765">
        <v>267</v>
      </c>
      <c r="G49" s="765">
        <v>81</v>
      </c>
      <c r="H49" s="765">
        <v>27</v>
      </c>
      <c r="I49" s="765">
        <v>27</v>
      </c>
      <c r="J49" s="765">
        <v>27</v>
      </c>
      <c r="M49" s="898"/>
      <c r="N49" s="898"/>
    </row>
    <row r="50" spans="1:14" x14ac:dyDescent="0.2">
      <c r="A50" s="80">
        <v>42</v>
      </c>
      <c r="B50" s="899" t="s">
        <v>97</v>
      </c>
      <c r="C50" s="45" t="s">
        <v>98</v>
      </c>
      <c r="D50" s="765">
        <v>3959</v>
      </c>
      <c r="E50" s="765">
        <v>2061</v>
      </c>
      <c r="F50" s="765">
        <v>2061</v>
      </c>
      <c r="G50" s="765">
        <v>618</v>
      </c>
      <c r="H50" s="765">
        <v>206</v>
      </c>
      <c r="I50" s="765">
        <v>206</v>
      </c>
      <c r="J50" s="765">
        <v>206</v>
      </c>
      <c r="M50" s="898"/>
      <c r="N50" s="898"/>
    </row>
    <row r="51" spans="1:14" x14ac:dyDescent="0.2">
      <c r="A51" s="80">
        <v>43</v>
      </c>
      <c r="B51" s="900" t="s">
        <v>99</v>
      </c>
      <c r="C51" s="4" t="s">
        <v>100</v>
      </c>
      <c r="D51" s="765">
        <v>9280</v>
      </c>
      <c r="E51" s="765">
        <v>2500</v>
      </c>
      <c r="F51" s="765">
        <v>2500</v>
      </c>
      <c r="G51" s="765">
        <v>750</v>
      </c>
      <c r="H51" s="765">
        <v>250</v>
      </c>
      <c r="I51" s="765">
        <v>250</v>
      </c>
      <c r="J51" s="765">
        <v>250</v>
      </c>
      <c r="M51" s="898"/>
      <c r="N51" s="898"/>
    </row>
    <row r="52" spans="1:14" x14ac:dyDescent="0.2">
      <c r="A52" s="80">
        <v>44</v>
      </c>
      <c r="B52" s="897" t="s">
        <v>101</v>
      </c>
      <c r="C52" s="45" t="s">
        <v>102</v>
      </c>
      <c r="D52" s="765">
        <v>2035</v>
      </c>
      <c r="E52" s="765">
        <v>539</v>
      </c>
      <c r="F52" s="765">
        <v>539</v>
      </c>
      <c r="G52" s="765">
        <v>162</v>
      </c>
      <c r="H52" s="765">
        <v>54</v>
      </c>
      <c r="I52" s="765">
        <v>54</v>
      </c>
      <c r="J52" s="765">
        <v>54</v>
      </c>
      <c r="M52" s="898"/>
      <c r="N52" s="898"/>
    </row>
    <row r="53" spans="1:14" x14ac:dyDescent="0.2">
      <c r="A53" s="80">
        <v>45</v>
      </c>
      <c r="B53" s="897" t="s">
        <v>103</v>
      </c>
      <c r="C53" s="45" t="s">
        <v>104</v>
      </c>
      <c r="D53" s="765">
        <v>10946</v>
      </c>
      <c r="E53" s="765">
        <v>2744</v>
      </c>
      <c r="F53" s="765">
        <v>2744</v>
      </c>
      <c r="G53" s="765">
        <v>822</v>
      </c>
      <c r="H53" s="765">
        <v>274</v>
      </c>
      <c r="I53" s="765">
        <v>274</v>
      </c>
      <c r="J53" s="765">
        <v>274</v>
      </c>
      <c r="M53" s="898"/>
      <c r="N53" s="898"/>
    </row>
    <row r="54" spans="1:14" x14ac:dyDescent="0.2">
      <c r="A54" s="80">
        <v>46</v>
      </c>
      <c r="B54" s="900" t="s">
        <v>105</v>
      </c>
      <c r="C54" s="4" t="s">
        <v>106</v>
      </c>
      <c r="D54" s="765">
        <v>1573</v>
      </c>
      <c r="E54" s="765">
        <v>722</v>
      </c>
      <c r="F54" s="765">
        <v>722</v>
      </c>
      <c r="G54" s="765">
        <v>216</v>
      </c>
      <c r="H54" s="765">
        <v>72</v>
      </c>
      <c r="I54" s="765">
        <v>72</v>
      </c>
      <c r="J54" s="765">
        <v>72</v>
      </c>
      <c r="M54" s="898"/>
      <c r="N54" s="898"/>
    </row>
    <row r="55" spans="1:14" x14ac:dyDescent="0.2">
      <c r="A55" s="80">
        <v>47</v>
      </c>
      <c r="B55" s="900" t="s">
        <v>107</v>
      </c>
      <c r="C55" s="4" t="s">
        <v>108</v>
      </c>
      <c r="D55" s="765">
        <v>2447</v>
      </c>
      <c r="E55" s="765">
        <v>1580</v>
      </c>
      <c r="F55" s="765">
        <v>1580</v>
      </c>
      <c r="G55" s="765">
        <v>474</v>
      </c>
      <c r="H55" s="765">
        <v>158</v>
      </c>
      <c r="I55" s="765">
        <v>158</v>
      </c>
      <c r="J55" s="765">
        <v>158</v>
      </c>
      <c r="M55" s="898"/>
      <c r="N55" s="898"/>
    </row>
    <row r="56" spans="1:14" x14ac:dyDescent="0.2">
      <c r="A56" s="80">
        <v>48</v>
      </c>
      <c r="B56" s="899" t="s">
        <v>109</v>
      </c>
      <c r="C56" s="45" t="s">
        <v>110</v>
      </c>
      <c r="D56" s="765">
        <v>2756</v>
      </c>
      <c r="E56" s="765">
        <v>1133</v>
      </c>
      <c r="F56" s="765">
        <v>1133</v>
      </c>
      <c r="G56" s="765">
        <v>339</v>
      </c>
      <c r="H56" s="765">
        <v>113</v>
      </c>
      <c r="I56" s="765">
        <v>113</v>
      </c>
      <c r="J56" s="765">
        <v>113</v>
      </c>
      <c r="M56" s="898"/>
      <c r="N56" s="898"/>
    </row>
    <row r="57" spans="1:14" x14ac:dyDescent="0.2">
      <c r="A57" s="80">
        <v>49</v>
      </c>
      <c r="B57" s="900" t="s">
        <v>111</v>
      </c>
      <c r="C57" s="4" t="s">
        <v>112</v>
      </c>
      <c r="D57" s="765">
        <v>1170</v>
      </c>
      <c r="E57" s="765">
        <v>540</v>
      </c>
      <c r="F57" s="765">
        <v>540</v>
      </c>
      <c r="G57" s="765">
        <v>162</v>
      </c>
      <c r="H57" s="765">
        <v>54</v>
      </c>
      <c r="I57" s="765">
        <v>54</v>
      </c>
      <c r="J57" s="765">
        <v>54</v>
      </c>
      <c r="M57" s="898"/>
      <c r="N57" s="898"/>
    </row>
    <row r="58" spans="1:14" x14ac:dyDescent="0.2">
      <c r="A58" s="80">
        <v>50</v>
      </c>
      <c r="B58" s="899" t="s">
        <v>113</v>
      </c>
      <c r="C58" s="45" t="s">
        <v>114</v>
      </c>
      <c r="D58" s="765">
        <v>1388</v>
      </c>
      <c r="E58" s="765">
        <v>1024</v>
      </c>
      <c r="F58" s="765">
        <v>1024</v>
      </c>
      <c r="G58" s="765">
        <v>306</v>
      </c>
      <c r="H58" s="765">
        <v>102</v>
      </c>
      <c r="I58" s="765">
        <v>102</v>
      </c>
      <c r="J58" s="765">
        <v>102</v>
      </c>
      <c r="M58" s="898"/>
      <c r="N58" s="898"/>
    </row>
    <row r="59" spans="1:14" x14ac:dyDescent="0.2">
      <c r="A59" s="80">
        <v>51</v>
      </c>
      <c r="B59" s="900" t="s">
        <v>115</v>
      </c>
      <c r="C59" s="4" t="s">
        <v>116</v>
      </c>
      <c r="D59" s="765">
        <v>2426</v>
      </c>
      <c r="E59" s="765">
        <v>1931</v>
      </c>
      <c r="F59" s="765">
        <v>1931</v>
      </c>
      <c r="G59" s="765">
        <v>579</v>
      </c>
      <c r="H59" s="765">
        <v>193</v>
      </c>
      <c r="I59" s="765">
        <v>193</v>
      </c>
      <c r="J59" s="765">
        <v>193</v>
      </c>
      <c r="M59" s="898"/>
      <c r="N59" s="898"/>
    </row>
    <row r="60" spans="1:14" x14ac:dyDescent="0.2">
      <c r="A60" s="80">
        <v>52</v>
      </c>
      <c r="B60" s="900" t="s">
        <v>117</v>
      </c>
      <c r="C60" s="4" t="s">
        <v>118</v>
      </c>
      <c r="D60" s="765">
        <v>12247</v>
      </c>
      <c r="E60" s="765">
        <v>1430</v>
      </c>
      <c r="F60" s="765">
        <v>1430</v>
      </c>
      <c r="G60" s="765">
        <v>429</v>
      </c>
      <c r="H60" s="765">
        <v>143</v>
      </c>
      <c r="I60" s="765">
        <v>143</v>
      </c>
      <c r="J60" s="765">
        <v>143</v>
      </c>
      <c r="M60" s="898"/>
      <c r="N60" s="898"/>
    </row>
    <row r="61" spans="1:14" x14ac:dyDescent="0.2">
      <c r="A61" s="80">
        <v>53</v>
      </c>
      <c r="B61" s="900" t="s">
        <v>119</v>
      </c>
      <c r="C61" s="4" t="s">
        <v>120</v>
      </c>
      <c r="D61" s="765">
        <v>1810</v>
      </c>
      <c r="E61" s="765">
        <v>388</v>
      </c>
      <c r="F61" s="765">
        <v>388</v>
      </c>
      <c r="G61" s="765">
        <v>117</v>
      </c>
      <c r="H61" s="765">
        <v>39</v>
      </c>
      <c r="I61" s="765">
        <v>39</v>
      </c>
      <c r="J61" s="765">
        <v>39</v>
      </c>
      <c r="M61" s="898"/>
      <c r="N61" s="898"/>
    </row>
    <row r="62" spans="1:14" x14ac:dyDescent="0.2">
      <c r="A62" s="80">
        <v>54</v>
      </c>
      <c r="B62" s="900" t="s">
        <v>121</v>
      </c>
      <c r="C62" s="4" t="s">
        <v>122</v>
      </c>
      <c r="D62" s="765">
        <v>0</v>
      </c>
      <c r="E62" s="765">
        <v>0</v>
      </c>
      <c r="F62" s="765">
        <v>0</v>
      </c>
      <c r="G62" s="765">
        <v>0</v>
      </c>
      <c r="H62" s="765">
        <v>0</v>
      </c>
      <c r="I62" s="765">
        <v>0</v>
      </c>
      <c r="J62" s="765">
        <v>0</v>
      </c>
      <c r="M62" s="898"/>
      <c r="N62" s="898"/>
    </row>
    <row r="63" spans="1:14" x14ac:dyDescent="0.2">
      <c r="A63" s="80">
        <v>55</v>
      </c>
      <c r="B63" s="900" t="s">
        <v>123</v>
      </c>
      <c r="C63" s="4" t="s">
        <v>124</v>
      </c>
      <c r="D63" s="765">
        <v>0</v>
      </c>
      <c r="E63" s="765">
        <v>0</v>
      </c>
      <c r="F63" s="765">
        <v>0</v>
      </c>
      <c r="G63" s="765">
        <v>0</v>
      </c>
      <c r="H63" s="765">
        <v>0</v>
      </c>
      <c r="I63" s="765">
        <v>0</v>
      </c>
      <c r="J63" s="765">
        <v>0</v>
      </c>
      <c r="M63" s="898"/>
      <c r="N63" s="898"/>
    </row>
    <row r="64" spans="1:14" x14ac:dyDescent="0.2">
      <c r="A64" s="80">
        <v>56</v>
      </c>
      <c r="B64" s="904" t="s">
        <v>125</v>
      </c>
      <c r="C64" s="1" t="s">
        <v>126</v>
      </c>
      <c r="D64" s="765">
        <v>0</v>
      </c>
      <c r="E64" s="765">
        <v>0</v>
      </c>
      <c r="F64" s="765">
        <v>0</v>
      </c>
      <c r="G64" s="765">
        <v>0</v>
      </c>
      <c r="H64" s="765">
        <v>0</v>
      </c>
      <c r="I64" s="765">
        <v>0</v>
      </c>
      <c r="J64" s="765">
        <v>0</v>
      </c>
      <c r="M64" s="898"/>
      <c r="N64" s="898"/>
    </row>
    <row r="65" spans="1:14" x14ac:dyDescent="0.2">
      <c r="A65" s="80">
        <v>57</v>
      </c>
      <c r="B65" s="900" t="s">
        <v>127</v>
      </c>
      <c r="C65" s="4" t="s">
        <v>128</v>
      </c>
      <c r="D65" s="765">
        <v>0</v>
      </c>
      <c r="E65" s="765">
        <v>0</v>
      </c>
      <c r="F65" s="765">
        <v>0</v>
      </c>
      <c r="G65" s="765">
        <v>0</v>
      </c>
      <c r="H65" s="765">
        <v>0</v>
      </c>
      <c r="I65" s="765">
        <v>0</v>
      </c>
      <c r="J65" s="765">
        <v>0</v>
      </c>
      <c r="M65" s="898"/>
      <c r="N65" s="898"/>
    </row>
    <row r="66" spans="1:14" x14ac:dyDescent="0.2">
      <c r="A66" s="80">
        <v>58</v>
      </c>
      <c r="B66" s="899" t="s">
        <v>129</v>
      </c>
      <c r="C66" s="4" t="s">
        <v>309</v>
      </c>
      <c r="D66" s="765">
        <v>0</v>
      </c>
      <c r="E66" s="765">
        <v>0</v>
      </c>
      <c r="F66" s="765">
        <v>0</v>
      </c>
      <c r="G66" s="765">
        <v>0</v>
      </c>
      <c r="H66" s="765">
        <v>0</v>
      </c>
      <c r="I66" s="765">
        <v>0</v>
      </c>
      <c r="J66" s="765">
        <v>0</v>
      </c>
      <c r="M66" s="898"/>
      <c r="N66" s="898"/>
    </row>
    <row r="67" spans="1:14" x14ac:dyDescent="0.2">
      <c r="A67" s="80">
        <v>59</v>
      </c>
      <c r="B67" s="901" t="s">
        <v>131</v>
      </c>
      <c r="C67" s="369" t="s">
        <v>132</v>
      </c>
      <c r="D67" s="765">
        <v>0</v>
      </c>
      <c r="E67" s="765">
        <v>0</v>
      </c>
      <c r="F67" s="765">
        <v>0</v>
      </c>
      <c r="G67" s="765">
        <v>0</v>
      </c>
      <c r="H67" s="765">
        <v>0</v>
      </c>
      <c r="I67" s="765">
        <v>0</v>
      </c>
      <c r="J67" s="765">
        <v>0</v>
      </c>
      <c r="M67" s="898"/>
      <c r="N67" s="898"/>
    </row>
    <row r="68" spans="1:14" x14ac:dyDescent="0.2">
      <c r="A68" s="80">
        <v>60</v>
      </c>
      <c r="B68" s="899" t="s">
        <v>133</v>
      </c>
      <c r="C68" s="4" t="s">
        <v>310</v>
      </c>
      <c r="D68" s="765">
        <v>0</v>
      </c>
      <c r="E68" s="765">
        <v>0</v>
      </c>
      <c r="F68" s="765">
        <v>0</v>
      </c>
      <c r="G68" s="765">
        <v>0</v>
      </c>
      <c r="H68" s="765">
        <v>0</v>
      </c>
      <c r="I68" s="765">
        <v>0</v>
      </c>
      <c r="J68" s="765">
        <v>0</v>
      </c>
      <c r="M68" s="898"/>
      <c r="N68" s="898"/>
    </row>
    <row r="69" spans="1:14" ht="25.5" x14ac:dyDescent="0.2">
      <c r="A69" s="80">
        <v>61</v>
      </c>
      <c r="B69" s="900" t="s">
        <v>135</v>
      </c>
      <c r="C69" s="4" t="s">
        <v>136</v>
      </c>
      <c r="D69" s="765">
        <v>0</v>
      </c>
      <c r="E69" s="765">
        <v>0</v>
      </c>
      <c r="F69" s="765">
        <v>0</v>
      </c>
      <c r="G69" s="765">
        <v>0</v>
      </c>
      <c r="H69" s="765">
        <v>0</v>
      </c>
      <c r="I69" s="765">
        <v>0</v>
      </c>
      <c r="J69" s="765">
        <v>0</v>
      </c>
      <c r="M69" s="898"/>
      <c r="N69" s="898"/>
    </row>
    <row r="70" spans="1:14" ht="25.5" x14ac:dyDescent="0.2">
      <c r="A70" s="80">
        <v>62</v>
      </c>
      <c r="B70" s="897" t="s">
        <v>137</v>
      </c>
      <c r="C70" s="4" t="s">
        <v>311</v>
      </c>
      <c r="D70" s="765">
        <v>0</v>
      </c>
      <c r="E70" s="765">
        <v>0</v>
      </c>
      <c r="F70" s="765">
        <v>0</v>
      </c>
      <c r="G70" s="765">
        <v>0</v>
      </c>
      <c r="H70" s="765">
        <v>0</v>
      </c>
      <c r="I70" s="765">
        <v>0</v>
      </c>
      <c r="J70" s="765">
        <v>0</v>
      </c>
      <c r="M70" s="898"/>
      <c r="N70" s="898"/>
    </row>
    <row r="71" spans="1:14" ht="25.5" x14ac:dyDescent="0.2">
      <c r="A71" s="80">
        <v>63</v>
      </c>
      <c r="B71" s="897" t="s">
        <v>139</v>
      </c>
      <c r="C71" s="4" t="s">
        <v>312</v>
      </c>
      <c r="D71" s="765">
        <v>0</v>
      </c>
      <c r="E71" s="765">
        <v>0</v>
      </c>
      <c r="F71" s="765">
        <v>0</v>
      </c>
      <c r="G71" s="765">
        <v>0</v>
      </c>
      <c r="H71" s="765">
        <v>0</v>
      </c>
      <c r="I71" s="765">
        <v>0</v>
      </c>
      <c r="J71" s="765">
        <v>0</v>
      </c>
      <c r="M71" s="898"/>
      <c r="N71" s="898"/>
    </row>
    <row r="72" spans="1:14" x14ac:dyDescent="0.2">
      <c r="A72" s="80">
        <v>64</v>
      </c>
      <c r="B72" s="899" t="s">
        <v>141</v>
      </c>
      <c r="C72" s="4" t="s">
        <v>313</v>
      </c>
      <c r="D72" s="765">
        <v>11273</v>
      </c>
      <c r="E72" s="765">
        <v>3331</v>
      </c>
      <c r="F72" s="765">
        <v>3331</v>
      </c>
      <c r="G72" s="765">
        <v>999</v>
      </c>
      <c r="H72" s="765">
        <v>333</v>
      </c>
      <c r="I72" s="765">
        <v>333</v>
      </c>
      <c r="J72" s="765">
        <v>333</v>
      </c>
      <c r="M72" s="898"/>
      <c r="N72" s="898"/>
    </row>
    <row r="73" spans="1:14" x14ac:dyDescent="0.2">
      <c r="A73" s="80">
        <v>65</v>
      </c>
      <c r="B73" s="899" t="s">
        <v>143</v>
      </c>
      <c r="C73" s="45" t="s">
        <v>144</v>
      </c>
      <c r="D73" s="765">
        <v>10686</v>
      </c>
      <c r="E73" s="765">
        <v>2961</v>
      </c>
      <c r="F73" s="765">
        <v>2961</v>
      </c>
      <c r="G73" s="765">
        <v>888</v>
      </c>
      <c r="H73" s="765">
        <v>296</v>
      </c>
      <c r="I73" s="765">
        <v>296</v>
      </c>
      <c r="J73" s="765">
        <v>296</v>
      </c>
      <c r="M73" s="898"/>
      <c r="N73" s="898"/>
    </row>
    <row r="74" spans="1:14" x14ac:dyDescent="0.2">
      <c r="A74" s="80">
        <v>66</v>
      </c>
      <c r="B74" s="899" t="s">
        <v>145</v>
      </c>
      <c r="C74" s="4" t="s">
        <v>314</v>
      </c>
      <c r="D74" s="765">
        <v>12002</v>
      </c>
      <c r="E74" s="765">
        <v>4508</v>
      </c>
      <c r="F74" s="765">
        <v>4508</v>
      </c>
      <c r="G74" s="765">
        <v>1353</v>
      </c>
      <c r="H74" s="765">
        <v>451</v>
      </c>
      <c r="I74" s="765">
        <v>451</v>
      </c>
      <c r="J74" s="765">
        <v>451</v>
      </c>
      <c r="M74" s="898"/>
      <c r="N74" s="898"/>
    </row>
    <row r="75" spans="1:14" ht="25.5" x14ac:dyDescent="0.2">
      <c r="A75" s="80">
        <v>67</v>
      </c>
      <c r="B75" s="899" t="s">
        <v>147</v>
      </c>
      <c r="C75" s="4" t="s">
        <v>315</v>
      </c>
      <c r="D75" s="765">
        <v>0</v>
      </c>
      <c r="E75" s="765">
        <v>0</v>
      </c>
      <c r="F75" s="765">
        <v>0</v>
      </c>
      <c r="G75" s="765">
        <v>0</v>
      </c>
      <c r="H75" s="765">
        <v>0</v>
      </c>
      <c r="I75" s="765">
        <v>0</v>
      </c>
      <c r="J75" s="765">
        <v>0</v>
      </c>
      <c r="M75" s="898"/>
      <c r="N75" s="898"/>
    </row>
    <row r="76" spans="1:14" ht="25.5" x14ac:dyDescent="0.2">
      <c r="A76" s="80">
        <v>68</v>
      </c>
      <c r="B76" s="897" t="s">
        <v>149</v>
      </c>
      <c r="C76" s="4" t="s">
        <v>316</v>
      </c>
      <c r="D76" s="765">
        <v>0</v>
      </c>
      <c r="E76" s="765">
        <v>0</v>
      </c>
      <c r="F76" s="765">
        <v>0</v>
      </c>
      <c r="G76" s="765">
        <v>0</v>
      </c>
      <c r="H76" s="765">
        <v>0</v>
      </c>
      <c r="I76" s="765">
        <v>0</v>
      </c>
      <c r="J76" s="765">
        <v>0</v>
      </c>
      <c r="M76" s="898"/>
      <c r="N76" s="898"/>
    </row>
    <row r="77" spans="1:14" ht="25.5" x14ac:dyDescent="0.2">
      <c r="A77" s="80">
        <v>69</v>
      </c>
      <c r="B77" s="899" t="s">
        <v>151</v>
      </c>
      <c r="C77" s="4" t="s">
        <v>317</v>
      </c>
      <c r="D77" s="765">
        <v>0</v>
      </c>
      <c r="E77" s="765">
        <v>0</v>
      </c>
      <c r="F77" s="765">
        <v>0</v>
      </c>
      <c r="G77" s="765">
        <v>0</v>
      </c>
      <c r="H77" s="765">
        <v>0</v>
      </c>
      <c r="I77" s="765">
        <v>0</v>
      </c>
      <c r="J77" s="765">
        <v>0</v>
      </c>
      <c r="M77" s="898"/>
      <c r="N77" s="898"/>
    </row>
    <row r="78" spans="1:14" ht="25.5" x14ac:dyDescent="0.2">
      <c r="A78" s="80">
        <v>70</v>
      </c>
      <c r="B78" s="899" t="s">
        <v>153</v>
      </c>
      <c r="C78" s="4" t="s">
        <v>318</v>
      </c>
      <c r="D78" s="765">
        <v>0</v>
      </c>
      <c r="E78" s="765">
        <v>0</v>
      </c>
      <c r="F78" s="765">
        <v>0</v>
      </c>
      <c r="G78" s="765">
        <v>0</v>
      </c>
      <c r="H78" s="765">
        <v>0</v>
      </c>
      <c r="I78" s="765">
        <v>0</v>
      </c>
      <c r="J78" s="765">
        <v>0</v>
      </c>
      <c r="M78" s="898"/>
      <c r="N78" s="898"/>
    </row>
    <row r="79" spans="1:14" ht="25.5" x14ac:dyDescent="0.2">
      <c r="A79" s="80">
        <v>71</v>
      </c>
      <c r="B79" s="897" t="s">
        <v>155</v>
      </c>
      <c r="C79" s="4" t="s">
        <v>319</v>
      </c>
      <c r="D79" s="765">
        <v>0</v>
      </c>
      <c r="E79" s="765">
        <v>0</v>
      </c>
      <c r="F79" s="765">
        <v>0</v>
      </c>
      <c r="G79" s="765">
        <v>0</v>
      </c>
      <c r="H79" s="765">
        <v>0</v>
      </c>
      <c r="I79" s="765">
        <v>0</v>
      </c>
      <c r="J79" s="765">
        <v>0</v>
      </c>
      <c r="M79" s="898"/>
      <c r="N79" s="898"/>
    </row>
    <row r="80" spans="1:14" ht="25.5" x14ac:dyDescent="0.2">
      <c r="A80" s="80">
        <v>72</v>
      </c>
      <c r="B80" s="897" t="s">
        <v>157</v>
      </c>
      <c r="C80" s="4" t="s">
        <v>320</v>
      </c>
      <c r="D80" s="765">
        <v>0</v>
      </c>
      <c r="E80" s="765">
        <v>0</v>
      </c>
      <c r="F80" s="765">
        <v>0</v>
      </c>
      <c r="G80" s="765">
        <v>0</v>
      </c>
      <c r="H80" s="765">
        <v>0</v>
      </c>
      <c r="I80" s="765">
        <v>0</v>
      </c>
      <c r="J80" s="765">
        <v>0</v>
      </c>
      <c r="M80" s="898"/>
      <c r="N80" s="898"/>
    </row>
    <row r="81" spans="1:14" ht="25.5" x14ac:dyDescent="0.2">
      <c r="A81" s="80">
        <v>73</v>
      </c>
      <c r="B81" s="897" t="s">
        <v>159</v>
      </c>
      <c r="C81" s="4" t="s">
        <v>321</v>
      </c>
      <c r="D81" s="765">
        <v>0</v>
      </c>
      <c r="E81" s="765">
        <v>0</v>
      </c>
      <c r="F81" s="765">
        <v>0</v>
      </c>
      <c r="G81" s="765">
        <v>0</v>
      </c>
      <c r="H81" s="765">
        <v>0</v>
      </c>
      <c r="I81" s="765">
        <v>0</v>
      </c>
      <c r="J81" s="765">
        <v>0</v>
      </c>
      <c r="M81" s="898"/>
      <c r="N81" s="898"/>
    </row>
    <row r="82" spans="1:14" x14ac:dyDescent="0.2">
      <c r="A82" s="80">
        <v>74</v>
      </c>
      <c r="B82" s="900" t="s">
        <v>161</v>
      </c>
      <c r="C82" s="4" t="s">
        <v>162</v>
      </c>
      <c r="D82" s="765">
        <v>7739</v>
      </c>
      <c r="E82" s="765">
        <v>2742</v>
      </c>
      <c r="F82" s="765">
        <v>2742</v>
      </c>
      <c r="G82" s="765">
        <v>822</v>
      </c>
      <c r="H82" s="765">
        <v>274</v>
      </c>
      <c r="I82" s="765">
        <v>274</v>
      </c>
      <c r="J82" s="765">
        <v>274</v>
      </c>
      <c r="M82" s="898"/>
      <c r="N82" s="898"/>
    </row>
    <row r="83" spans="1:14" x14ac:dyDescent="0.2">
      <c r="A83" s="80">
        <v>75</v>
      </c>
      <c r="B83" s="897" t="s">
        <v>163</v>
      </c>
      <c r="C83" s="4" t="s">
        <v>322</v>
      </c>
      <c r="D83" s="765">
        <v>21642</v>
      </c>
      <c r="E83" s="765">
        <v>6053</v>
      </c>
      <c r="F83" s="765">
        <v>6053</v>
      </c>
      <c r="G83" s="765">
        <v>1812</v>
      </c>
      <c r="H83" s="765">
        <v>604</v>
      </c>
      <c r="I83" s="765">
        <v>604</v>
      </c>
      <c r="J83" s="765">
        <v>604</v>
      </c>
      <c r="M83" s="898"/>
      <c r="N83" s="898"/>
    </row>
    <row r="84" spans="1:14" x14ac:dyDescent="0.2">
      <c r="A84" s="80">
        <v>76</v>
      </c>
      <c r="B84" s="900" t="s">
        <v>165</v>
      </c>
      <c r="C84" s="4" t="s">
        <v>166</v>
      </c>
      <c r="D84" s="765">
        <v>9741</v>
      </c>
      <c r="E84" s="765">
        <v>3875</v>
      </c>
      <c r="F84" s="765">
        <v>3875</v>
      </c>
      <c r="G84" s="765">
        <v>1164</v>
      </c>
      <c r="H84" s="765">
        <v>388</v>
      </c>
      <c r="I84" s="765">
        <v>388</v>
      </c>
      <c r="J84" s="765">
        <v>388</v>
      </c>
      <c r="M84" s="898"/>
      <c r="N84" s="898"/>
    </row>
    <row r="85" spans="1:14" x14ac:dyDescent="0.2">
      <c r="A85" s="80">
        <v>77</v>
      </c>
      <c r="B85" s="901" t="s">
        <v>167</v>
      </c>
      <c r="C85" s="369" t="s">
        <v>168</v>
      </c>
      <c r="D85" s="765">
        <v>3372</v>
      </c>
      <c r="E85" s="765">
        <v>774</v>
      </c>
      <c r="F85" s="765">
        <v>774</v>
      </c>
      <c r="G85" s="765">
        <v>231</v>
      </c>
      <c r="H85" s="765">
        <v>77</v>
      </c>
      <c r="I85" s="765">
        <v>77</v>
      </c>
      <c r="J85" s="765">
        <v>77</v>
      </c>
      <c r="M85" s="898"/>
      <c r="N85" s="898"/>
    </row>
    <row r="86" spans="1:14" x14ac:dyDescent="0.2">
      <c r="A86" s="80">
        <v>78</v>
      </c>
      <c r="B86" s="897" t="s">
        <v>169</v>
      </c>
      <c r="C86" s="4" t="s">
        <v>170</v>
      </c>
      <c r="D86" s="765">
        <v>20949</v>
      </c>
      <c r="E86" s="765">
        <v>17557</v>
      </c>
      <c r="F86" s="765">
        <v>17557</v>
      </c>
      <c r="G86" s="765">
        <v>5268</v>
      </c>
      <c r="H86" s="765">
        <v>1756</v>
      </c>
      <c r="I86" s="765">
        <v>1756</v>
      </c>
      <c r="J86" s="765">
        <v>1756</v>
      </c>
      <c r="M86" s="898"/>
      <c r="N86" s="898"/>
    </row>
    <row r="87" spans="1:14" x14ac:dyDescent="0.2">
      <c r="A87" s="80">
        <v>79</v>
      </c>
      <c r="B87" s="901" t="s">
        <v>171</v>
      </c>
      <c r="C87" s="369" t="s">
        <v>172</v>
      </c>
      <c r="D87" s="765">
        <v>0</v>
      </c>
      <c r="E87" s="765">
        <v>0</v>
      </c>
      <c r="F87" s="765">
        <v>0</v>
      </c>
      <c r="G87" s="765">
        <v>0</v>
      </c>
      <c r="H87" s="765">
        <v>0</v>
      </c>
      <c r="I87" s="765">
        <v>0</v>
      </c>
      <c r="J87" s="765">
        <v>0</v>
      </c>
      <c r="M87" s="898"/>
      <c r="N87" s="898"/>
    </row>
    <row r="88" spans="1:14" x14ac:dyDescent="0.2">
      <c r="A88" s="80">
        <v>80</v>
      </c>
      <c r="B88" s="897" t="s">
        <v>173</v>
      </c>
      <c r="C88" s="4" t="s">
        <v>323</v>
      </c>
      <c r="D88" s="765">
        <v>18769</v>
      </c>
      <c r="E88" s="765">
        <v>8931</v>
      </c>
      <c r="F88" s="765">
        <v>8931</v>
      </c>
      <c r="G88" s="765">
        <v>2679</v>
      </c>
      <c r="H88" s="765">
        <v>893</v>
      </c>
      <c r="I88" s="765">
        <v>893</v>
      </c>
      <c r="J88" s="765">
        <v>893</v>
      </c>
      <c r="M88" s="898"/>
      <c r="N88" s="898"/>
    </row>
    <row r="89" spans="1:14" x14ac:dyDescent="0.2">
      <c r="A89" s="80">
        <v>81</v>
      </c>
      <c r="B89" s="901" t="s">
        <v>175</v>
      </c>
      <c r="C89" s="1" t="s">
        <v>754</v>
      </c>
      <c r="D89" s="765">
        <v>0</v>
      </c>
      <c r="E89" s="765">
        <v>0</v>
      </c>
      <c r="F89" s="765">
        <v>0</v>
      </c>
      <c r="G89" s="765">
        <v>0</v>
      </c>
      <c r="H89" s="765">
        <v>0</v>
      </c>
      <c r="I89" s="765">
        <v>0</v>
      </c>
      <c r="J89" s="765">
        <v>0</v>
      </c>
      <c r="M89" s="898"/>
      <c r="N89" s="898"/>
    </row>
    <row r="90" spans="1:14" x14ac:dyDescent="0.2">
      <c r="A90" s="80">
        <v>82</v>
      </c>
      <c r="B90" s="899" t="s">
        <v>177</v>
      </c>
      <c r="C90" s="4" t="s">
        <v>359</v>
      </c>
      <c r="D90" s="765">
        <v>0</v>
      </c>
      <c r="E90" s="765">
        <v>0</v>
      </c>
      <c r="F90" s="765">
        <v>0</v>
      </c>
      <c r="G90" s="765">
        <v>0</v>
      </c>
      <c r="H90" s="765">
        <v>0</v>
      </c>
      <c r="I90" s="765">
        <v>0</v>
      </c>
      <c r="J90" s="765">
        <v>0</v>
      </c>
      <c r="M90" s="898"/>
      <c r="N90" s="898"/>
    </row>
    <row r="91" spans="1:14" ht="42.75" customHeight="1" x14ac:dyDescent="0.2">
      <c r="A91" s="1095">
        <v>83</v>
      </c>
      <c r="B91" s="1098" t="s">
        <v>178</v>
      </c>
      <c r="C91" s="1" t="s">
        <v>752</v>
      </c>
      <c r="D91" s="765">
        <v>859</v>
      </c>
      <c r="E91" s="765">
        <v>149</v>
      </c>
      <c r="F91" s="765">
        <v>149</v>
      </c>
      <c r="G91" s="765">
        <v>45</v>
      </c>
      <c r="H91" s="765">
        <v>15</v>
      </c>
      <c r="I91" s="765">
        <v>15</v>
      </c>
      <c r="J91" s="765">
        <v>15</v>
      </c>
      <c r="M91" s="898"/>
      <c r="N91" s="898"/>
    </row>
    <row r="92" spans="1:14" ht="24" x14ac:dyDescent="0.2">
      <c r="A92" s="1096"/>
      <c r="B92" s="1099"/>
      <c r="C92" s="905" t="s">
        <v>180</v>
      </c>
      <c r="D92" s="765">
        <v>0</v>
      </c>
      <c r="E92" s="765">
        <v>0</v>
      </c>
      <c r="F92" s="765">
        <v>0</v>
      </c>
      <c r="G92" s="765">
        <v>0</v>
      </c>
      <c r="H92" s="765">
        <v>0</v>
      </c>
      <c r="I92" s="765">
        <v>0</v>
      </c>
      <c r="J92" s="765">
        <v>0</v>
      </c>
      <c r="M92" s="898"/>
      <c r="N92" s="898"/>
    </row>
    <row r="93" spans="1:14" ht="36" x14ac:dyDescent="0.2">
      <c r="A93" s="1097"/>
      <c r="B93" s="1100"/>
      <c r="C93" s="384" t="s">
        <v>753</v>
      </c>
      <c r="D93" s="765">
        <v>0</v>
      </c>
      <c r="E93" s="765">
        <v>0</v>
      </c>
      <c r="F93" s="765">
        <v>0</v>
      </c>
      <c r="G93" s="765">
        <v>0</v>
      </c>
      <c r="H93" s="765">
        <v>0</v>
      </c>
      <c r="I93" s="765">
        <v>0</v>
      </c>
      <c r="J93" s="765">
        <v>0</v>
      </c>
      <c r="M93" s="898"/>
      <c r="N93" s="898"/>
    </row>
    <row r="94" spans="1:14" ht="25.5" x14ac:dyDescent="0.2">
      <c r="A94" s="80">
        <v>84</v>
      </c>
      <c r="B94" s="899" t="s">
        <v>181</v>
      </c>
      <c r="C94" s="45" t="s">
        <v>182</v>
      </c>
      <c r="D94" s="765">
        <v>0</v>
      </c>
      <c r="E94" s="765">
        <v>0</v>
      </c>
      <c r="F94" s="765">
        <v>0</v>
      </c>
      <c r="G94" s="765">
        <v>0</v>
      </c>
      <c r="H94" s="765">
        <v>0</v>
      </c>
      <c r="I94" s="765">
        <v>0</v>
      </c>
      <c r="J94" s="765">
        <v>0</v>
      </c>
      <c r="M94" s="898"/>
      <c r="N94" s="898"/>
    </row>
    <row r="95" spans="1:14" x14ac:dyDescent="0.2">
      <c r="A95" s="80">
        <v>85</v>
      </c>
      <c r="B95" s="899" t="s">
        <v>183</v>
      </c>
      <c r="C95" s="369" t="s">
        <v>184</v>
      </c>
      <c r="D95" s="765">
        <v>788</v>
      </c>
      <c r="E95" s="765">
        <v>249</v>
      </c>
      <c r="F95" s="765">
        <v>249</v>
      </c>
      <c r="G95" s="765">
        <v>75</v>
      </c>
      <c r="H95" s="765">
        <v>25</v>
      </c>
      <c r="I95" s="765">
        <v>25</v>
      </c>
      <c r="J95" s="765">
        <v>25</v>
      </c>
      <c r="M95" s="898"/>
      <c r="N95" s="898"/>
    </row>
    <row r="96" spans="1:14" x14ac:dyDescent="0.2">
      <c r="A96" s="80">
        <v>86</v>
      </c>
      <c r="B96" s="900" t="s">
        <v>185</v>
      </c>
      <c r="C96" s="4" t="s">
        <v>186</v>
      </c>
      <c r="D96" s="765">
        <v>4399</v>
      </c>
      <c r="E96" s="765">
        <v>918</v>
      </c>
      <c r="F96" s="765">
        <v>918</v>
      </c>
      <c r="G96" s="765">
        <v>276</v>
      </c>
      <c r="H96" s="765">
        <v>92</v>
      </c>
      <c r="I96" s="765">
        <v>92</v>
      </c>
      <c r="J96" s="765">
        <v>92</v>
      </c>
      <c r="M96" s="898"/>
      <c r="N96" s="898"/>
    </row>
    <row r="97" spans="1:14" x14ac:dyDescent="0.2">
      <c r="A97" s="80">
        <v>87</v>
      </c>
      <c r="B97" s="899" t="s">
        <v>187</v>
      </c>
      <c r="C97" s="45" t="s">
        <v>188</v>
      </c>
      <c r="D97" s="765">
        <v>1400</v>
      </c>
      <c r="E97" s="765">
        <v>440</v>
      </c>
      <c r="F97" s="765">
        <v>440</v>
      </c>
      <c r="G97" s="765">
        <v>132</v>
      </c>
      <c r="H97" s="765">
        <v>44</v>
      </c>
      <c r="I97" s="765">
        <v>44</v>
      </c>
      <c r="J97" s="765">
        <v>44</v>
      </c>
      <c r="M97" s="898"/>
      <c r="N97" s="898"/>
    </row>
    <row r="98" spans="1:14" x14ac:dyDescent="0.2">
      <c r="A98" s="80">
        <v>88</v>
      </c>
      <c r="B98" s="900" t="s">
        <v>189</v>
      </c>
      <c r="C98" s="4" t="s">
        <v>190</v>
      </c>
      <c r="D98" s="765">
        <v>890</v>
      </c>
      <c r="E98" s="765">
        <v>100</v>
      </c>
      <c r="F98" s="765">
        <v>100</v>
      </c>
      <c r="G98" s="765">
        <v>30</v>
      </c>
      <c r="H98" s="765">
        <v>10</v>
      </c>
      <c r="I98" s="765">
        <v>10</v>
      </c>
      <c r="J98" s="765">
        <v>10</v>
      </c>
      <c r="M98" s="898"/>
      <c r="N98" s="898"/>
    </row>
    <row r="99" spans="1:14" x14ac:dyDescent="0.2">
      <c r="A99" s="80">
        <v>89</v>
      </c>
      <c r="B99" s="900" t="s">
        <v>191</v>
      </c>
      <c r="C99" s="4" t="s">
        <v>192</v>
      </c>
      <c r="D99" s="765">
        <v>4177</v>
      </c>
      <c r="E99" s="765">
        <v>1697</v>
      </c>
      <c r="F99" s="765">
        <v>1697</v>
      </c>
      <c r="G99" s="765">
        <v>510</v>
      </c>
      <c r="H99" s="765">
        <v>170</v>
      </c>
      <c r="I99" s="765">
        <v>170</v>
      </c>
      <c r="J99" s="765">
        <v>170</v>
      </c>
      <c r="M99" s="898"/>
      <c r="N99" s="898"/>
    </row>
    <row r="100" spans="1:14" x14ac:dyDescent="0.2">
      <c r="A100" s="80">
        <v>90</v>
      </c>
      <c r="B100" s="899" t="s">
        <v>193</v>
      </c>
      <c r="C100" s="369" t="s">
        <v>194</v>
      </c>
      <c r="D100" s="765">
        <v>1493</v>
      </c>
      <c r="E100" s="765">
        <v>1160</v>
      </c>
      <c r="F100" s="765">
        <v>1160</v>
      </c>
      <c r="G100" s="765">
        <v>348</v>
      </c>
      <c r="H100" s="765">
        <v>116</v>
      </c>
      <c r="I100" s="765">
        <v>116</v>
      </c>
      <c r="J100" s="765">
        <v>116</v>
      </c>
      <c r="M100" s="898"/>
      <c r="N100" s="898"/>
    </row>
    <row r="101" spans="1:14" x14ac:dyDescent="0.2">
      <c r="A101" s="80">
        <v>91</v>
      </c>
      <c r="B101" s="899" t="s">
        <v>195</v>
      </c>
      <c r="C101" s="45" t="s">
        <v>196</v>
      </c>
      <c r="D101" s="765">
        <v>3288</v>
      </c>
      <c r="E101" s="765">
        <v>307</v>
      </c>
      <c r="F101" s="765">
        <v>307</v>
      </c>
      <c r="G101" s="765">
        <v>93</v>
      </c>
      <c r="H101" s="765">
        <v>31</v>
      </c>
      <c r="I101" s="765">
        <v>31</v>
      </c>
      <c r="J101" s="765">
        <v>31</v>
      </c>
      <c r="M101" s="898"/>
      <c r="N101" s="898"/>
    </row>
    <row r="102" spans="1:14" x14ac:dyDescent="0.2">
      <c r="A102" s="80">
        <v>92</v>
      </c>
      <c r="B102" s="897" t="s">
        <v>197</v>
      </c>
      <c r="C102" s="45" t="s">
        <v>198</v>
      </c>
      <c r="D102" s="765">
        <v>2948</v>
      </c>
      <c r="E102" s="765">
        <v>1375</v>
      </c>
      <c r="F102" s="765">
        <v>1375</v>
      </c>
      <c r="G102" s="765">
        <v>414</v>
      </c>
      <c r="H102" s="765">
        <v>138</v>
      </c>
      <c r="I102" s="765">
        <v>138</v>
      </c>
      <c r="J102" s="765">
        <v>138</v>
      </c>
      <c r="M102" s="898"/>
      <c r="N102" s="898"/>
    </row>
    <row r="103" spans="1:14" x14ac:dyDescent="0.2">
      <c r="A103" s="80">
        <v>93</v>
      </c>
      <c r="B103" s="897" t="s">
        <v>199</v>
      </c>
      <c r="C103" s="45" t="s">
        <v>200</v>
      </c>
      <c r="D103" s="765">
        <v>3992</v>
      </c>
      <c r="E103" s="765">
        <v>1974</v>
      </c>
      <c r="F103" s="765">
        <v>1974</v>
      </c>
      <c r="G103" s="765">
        <v>591</v>
      </c>
      <c r="H103" s="765">
        <v>197</v>
      </c>
      <c r="I103" s="765">
        <v>197</v>
      </c>
      <c r="J103" s="765">
        <v>197</v>
      </c>
      <c r="M103" s="898"/>
      <c r="N103" s="898"/>
    </row>
    <row r="104" spans="1:14" x14ac:dyDescent="0.2">
      <c r="A104" s="80">
        <v>94</v>
      </c>
      <c r="B104" s="900" t="s">
        <v>201</v>
      </c>
      <c r="C104" s="4" t="s">
        <v>202</v>
      </c>
      <c r="D104" s="765">
        <v>770</v>
      </c>
      <c r="E104" s="765">
        <v>122</v>
      </c>
      <c r="F104" s="765">
        <v>122</v>
      </c>
      <c r="G104" s="765">
        <v>36</v>
      </c>
      <c r="H104" s="765">
        <v>12</v>
      </c>
      <c r="I104" s="765">
        <v>12</v>
      </c>
      <c r="J104" s="765">
        <v>12</v>
      </c>
      <c r="M104" s="898"/>
      <c r="N104" s="898"/>
    </row>
    <row r="105" spans="1:14" x14ac:dyDescent="0.2">
      <c r="A105" s="80">
        <v>95</v>
      </c>
      <c r="B105" s="901" t="s">
        <v>203</v>
      </c>
      <c r="C105" s="369" t="s">
        <v>204</v>
      </c>
      <c r="D105" s="765">
        <v>2356</v>
      </c>
      <c r="E105" s="765">
        <v>743</v>
      </c>
      <c r="F105" s="765">
        <v>743</v>
      </c>
      <c r="G105" s="765">
        <v>222</v>
      </c>
      <c r="H105" s="765">
        <v>74</v>
      </c>
      <c r="I105" s="765">
        <v>74</v>
      </c>
      <c r="J105" s="765">
        <v>74</v>
      </c>
      <c r="M105" s="898"/>
      <c r="N105" s="898"/>
    </row>
    <row r="106" spans="1:14" x14ac:dyDescent="0.2">
      <c r="A106" s="80">
        <v>96</v>
      </c>
      <c r="B106" s="897" t="s">
        <v>205</v>
      </c>
      <c r="C106" s="45" t="s">
        <v>206</v>
      </c>
      <c r="D106" s="765">
        <v>1013</v>
      </c>
      <c r="E106" s="765">
        <v>144</v>
      </c>
      <c r="F106" s="765">
        <v>144</v>
      </c>
      <c r="G106" s="765">
        <v>42</v>
      </c>
      <c r="H106" s="765">
        <v>14</v>
      </c>
      <c r="I106" s="765">
        <v>14</v>
      </c>
      <c r="J106" s="765">
        <v>14</v>
      </c>
      <c r="M106" s="898"/>
      <c r="N106" s="898"/>
    </row>
    <row r="107" spans="1:14" x14ac:dyDescent="0.2">
      <c r="A107" s="80">
        <v>97</v>
      </c>
      <c r="B107" s="899" t="s">
        <v>207</v>
      </c>
      <c r="C107" s="45" t="s">
        <v>208</v>
      </c>
      <c r="D107" s="765">
        <v>2072</v>
      </c>
      <c r="E107" s="765">
        <v>88</v>
      </c>
      <c r="F107" s="765">
        <v>88</v>
      </c>
      <c r="G107" s="765">
        <v>27</v>
      </c>
      <c r="H107" s="765">
        <v>9</v>
      </c>
      <c r="I107" s="765">
        <v>9</v>
      </c>
      <c r="J107" s="765">
        <v>9</v>
      </c>
      <c r="M107" s="898"/>
      <c r="N107" s="898"/>
    </row>
    <row r="108" spans="1:14" x14ac:dyDescent="0.2">
      <c r="A108" s="80">
        <v>98</v>
      </c>
      <c r="B108" s="900" t="s">
        <v>209</v>
      </c>
      <c r="C108" s="4" t="s">
        <v>210</v>
      </c>
      <c r="D108" s="765">
        <v>1593</v>
      </c>
      <c r="E108" s="765">
        <v>619</v>
      </c>
      <c r="F108" s="765">
        <v>619</v>
      </c>
      <c r="G108" s="765">
        <v>186</v>
      </c>
      <c r="H108" s="765">
        <v>62</v>
      </c>
      <c r="I108" s="765">
        <v>62</v>
      </c>
      <c r="J108" s="765">
        <v>62</v>
      </c>
      <c r="M108" s="898"/>
      <c r="N108" s="898"/>
    </row>
    <row r="109" spans="1:14" x14ac:dyDescent="0.2">
      <c r="A109" s="80">
        <v>99</v>
      </c>
      <c r="B109" s="900" t="s">
        <v>211</v>
      </c>
      <c r="C109" s="4" t="s">
        <v>212</v>
      </c>
      <c r="D109" s="765">
        <v>2049</v>
      </c>
      <c r="E109" s="765">
        <v>228</v>
      </c>
      <c r="F109" s="765">
        <v>228</v>
      </c>
      <c r="G109" s="765">
        <v>69</v>
      </c>
      <c r="H109" s="765">
        <v>23</v>
      </c>
      <c r="I109" s="765">
        <v>23</v>
      </c>
      <c r="J109" s="765">
        <v>23</v>
      </c>
      <c r="M109" s="898"/>
      <c r="N109" s="898"/>
    </row>
    <row r="110" spans="1:14" x14ac:dyDescent="0.2">
      <c r="A110" s="80">
        <v>100</v>
      </c>
      <c r="B110" s="897" t="s">
        <v>213</v>
      </c>
      <c r="C110" s="45" t="s">
        <v>214</v>
      </c>
      <c r="D110" s="765">
        <v>3063</v>
      </c>
      <c r="E110" s="765">
        <v>922</v>
      </c>
      <c r="F110" s="765">
        <v>922</v>
      </c>
      <c r="G110" s="765">
        <v>276</v>
      </c>
      <c r="H110" s="765">
        <v>92</v>
      </c>
      <c r="I110" s="765">
        <v>92</v>
      </c>
      <c r="J110" s="765">
        <v>92</v>
      </c>
      <c r="M110" s="898"/>
      <c r="N110" s="898"/>
    </row>
    <row r="111" spans="1:14" x14ac:dyDescent="0.2">
      <c r="A111" s="80">
        <v>101</v>
      </c>
      <c r="B111" s="899" t="s">
        <v>215</v>
      </c>
      <c r="C111" s="45" t="s">
        <v>216</v>
      </c>
      <c r="D111" s="765">
        <v>1846</v>
      </c>
      <c r="E111" s="765">
        <v>1116</v>
      </c>
      <c r="F111" s="765">
        <v>1116</v>
      </c>
      <c r="G111" s="765">
        <v>336</v>
      </c>
      <c r="H111" s="765">
        <v>112</v>
      </c>
      <c r="I111" s="765">
        <v>112</v>
      </c>
      <c r="J111" s="765">
        <v>112</v>
      </c>
      <c r="M111" s="898"/>
      <c r="N111" s="898"/>
    </row>
    <row r="112" spans="1:14" x14ac:dyDescent="0.2">
      <c r="A112" s="80">
        <v>102</v>
      </c>
      <c r="B112" s="897" t="s">
        <v>217</v>
      </c>
      <c r="C112" s="4" t="s">
        <v>218</v>
      </c>
      <c r="D112" s="765">
        <v>0</v>
      </c>
      <c r="E112" s="765">
        <v>0</v>
      </c>
      <c r="F112" s="765">
        <v>0</v>
      </c>
      <c r="G112" s="765">
        <v>0</v>
      </c>
      <c r="H112" s="765">
        <v>0</v>
      </c>
      <c r="I112" s="765">
        <v>0</v>
      </c>
      <c r="J112" s="765">
        <v>0</v>
      </c>
      <c r="M112" s="898"/>
      <c r="N112" s="898"/>
    </row>
    <row r="113" spans="1:14" x14ac:dyDescent="0.2">
      <c r="A113" s="80">
        <v>103</v>
      </c>
      <c r="B113" s="897" t="s">
        <v>219</v>
      </c>
      <c r="C113" s="45" t="s">
        <v>220</v>
      </c>
      <c r="D113" s="765">
        <v>0</v>
      </c>
      <c r="E113" s="765">
        <v>0</v>
      </c>
      <c r="F113" s="765">
        <v>0</v>
      </c>
      <c r="G113" s="765">
        <v>0</v>
      </c>
      <c r="H113" s="765">
        <v>0</v>
      </c>
      <c r="I113" s="765">
        <v>0</v>
      </c>
      <c r="J113" s="765">
        <v>0</v>
      </c>
      <c r="M113" s="898"/>
      <c r="N113" s="898"/>
    </row>
    <row r="114" spans="1:14" x14ac:dyDescent="0.2">
      <c r="A114" s="80">
        <v>104</v>
      </c>
      <c r="B114" s="900" t="s">
        <v>221</v>
      </c>
      <c r="C114" s="4" t="s">
        <v>222</v>
      </c>
      <c r="D114" s="765">
        <v>0</v>
      </c>
      <c r="E114" s="765">
        <v>0</v>
      </c>
      <c r="F114" s="765">
        <v>0</v>
      </c>
      <c r="G114" s="765">
        <v>0</v>
      </c>
      <c r="H114" s="765">
        <v>0</v>
      </c>
      <c r="I114" s="765">
        <v>0</v>
      </c>
      <c r="J114" s="765">
        <v>0</v>
      </c>
      <c r="M114" s="898"/>
      <c r="N114" s="898"/>
    </row>
    <row r="115" spans="1:14" x14ac:dyDescent="0.2">
      <c r="A115" s="80">
        <v>105</v>
      </c>
      <c r="B115" s="900" t="s">
        <v>223</v>
      </c>
      <c r="C115" s="4" t="s">
        <v>224</v>
      </c>
      <c r="D115" s="765">
        <v>0</v>
      </c>
      <c r="E115" s="765">
        <v>0</v>
      </c>
      <c r="F115" s="765">
        <v>0</v>
      </c>
      <c r="G115" s="765">
        <v>0</v>
      </c>
      <c r="H115" s="765">
        <v>0</v>
      </c>
      <c r="I115" s="765">
        <v>0</v>
      </c>
      <c r="J115" s="765">
        <v>0</v>
      </c>
      <c r="M115" s="898"/>
      <c r="N115" s="898"/>
    </row>
    <row r="116" spans="1:14" x14ac:dyDescent="0.2">
      <c r="A116" s="80">
        <v>106</v>
      </c>
      <c r="B116" s="900" t="s">
        <v>225</v>
      </c>
      <c r="C116" s="4" t="s">
        <v>226</v>
      </c>
      <c r="D116" s="765">
        <v>0</v>
      </c>
      <c r="E116" s="765">
        <v>0</v>
      </c>
      <c r="F116" s="765">
        <v>0</v>
      </c>
      <c r="G116" s="765">
        <v>0</v>
      </c>
      <c r="H116" s="765">
        <v>0</v>
      </c>
      <c r="I116" s="765">
        <v>0</v>
      </c>
      <c r="J116" s="765">
        <v>0</v>
      </c>
      <c r="M116" s="898"/>
      <c r="N116" s="898"/>
    </row>
    <row r="117" spans="1:14" x14ac:dyDescent="0.2">
      <c r="A117" s="80">
        <v>107</v>
      </c>
      <c r="B117" s="900" t="s">
        <v>227</v>
      </c>
      <c r="C117" s="4" t="s">
        <v>228</v>
      </c>
      <c r="D117" s="765">
        <v>0</v>
      </c>
      <c r="E117" s="765">
        <v>0</v>
      </c>
      <c r="F117" s="765">
        <v>0</v>
      </c>
      <c r="G117" s="765">
        <v>0</v>
      </c>
      <c r="H117" s="765">
        <v>0</v>
      </c>
      <c r="I117" s="765">
        <v>0</v>
      </c>
      <c r="J117" s="765">
        <v>0</v>
      </c>
      <c r="M117" s="898"/>
      <c r="N117" s="898"/>
    </row>
    <row r="118" spans="1:14" x14ac:dyDescent="0.2">
      <c r="A118" s="80">
        <v>108</v>
      </c>
      <c r="B118" s="900" t="s">
        <v>229</v>
      </c>
      <c r="C118" s="4" t="s">
        <v>230</v>
      </c>
      <c r="D118" s="765">
        <v>0</v>
      </c>
      <c r="E118" s="765">
        <v>0</v>
      </c>
      <c r="F118" s="765">
        <v>0</v>
      </c>
      <c r="G118" s="765">
        <v>0</v>
      </c>
      <c r="H118" s="765">
        <v>0</v>
      </c>
      <c r="I118" s="765">
        <v>0</v>
      </c>
      <c r="J118" s="765">
        <v>0</v>
      </c>
      <c r="M118" s="898"/>
      <c r="N118" s="898"/>
    </row>
    <row r="119" spans="1:14" x14ac:dyDescent="0.2">
      <c r="A119" s="80">
        <v>109</v>
      </c>
      <c r="B119" s="900" t="s">
        <v>231</v>
      </c>
      <c r="C119" s="4" t="s">
        <v>232</v>
      </c>
      <c r="D119" s="765">
        <v>0</v>
      </c>
      <c r="E119" s="765">
        <v>0</v>
      </c>
      <c r="F119" s="765">
        <v>0</v>
      </c>
      <c r="G119" s="765">
        <v>0</v>
      </c>
      <c r="H119" s="765">
        <v>0</v>
      </c>
      <c r="I119" s="765">
        <v>0</v>
      </c>
      <c r="J119" s="765">
        <v>0</v>
      </c>
      <c r="M119" s="898"/>
      <c r="N119" s="898"/>
    </row>
    <row r="120" spans="1:14" x14ac:dyDescent="0.2">
      <c r="A120" s="80">
        <v>110</v>
      </c>
      <c r="B120" s="764" t="s">
        <v>233</v>
      </c>
      <c r="C120" s="906" t="s">
        <v>234</v>
      </c>
      <c r="D120" s="765">
        <v>0</v>
      </c>
      <c r="E120" s="765">
        <v>0</v>
      </c>
      <c r="F120" s="765">
        <v>0</v>
      </c>
      <c r="G120" s="765">
        <v>0</v>
      </c>
      <c r="H120" s="765">
        <v>0</v>
      </c>
      <c r="I120" s="765">
        <v>0</v>
      </c>
      <c r="J120" s="765">
        <v>0</v>
      </c>
      <c r="M120" s="898"/>
      <c r="N120" s="898"/>
    </row>
    <row r="121" spans="1:14" x14ac:dyDescent="0.2">
      <c r="A121" s="80">
        <v>111</v>
      </c>
      <c r="B121" s="764" t="s">
        <v>235</v>
      </c>
      <c r="C121" s="906" t="s">
        <v>236</v>
      </c>
      <c r="D121" s="765">
        <v>0</v>
      </c>
      <c r="E121" s="765">
        <v>0</v>
      </c>
      <c r="F121" s="765">
        <v>0</v>
      </c>
      <c r="G121" s="765">
        <v>0</v>
      </c>
      <c r="H121" s="765">
        <v>0</v>
      </c>
      <c r="I121" s="765">
        <v>0</v>
      </c>
      <c r="J121" s="765">
        <v>0</v>
      </c>
      <c r="M121" s="898"/>
      <c r="N121" s="898"/>
    </row>
    <row r="122" spans="1:14" x14ac:dyDescent="0.2">
      <c r="A122" s="80">
        <v>112</v>
      </c>
      <c r="B122" s="899" t="s">
        <v>237</v>
      </c>
      <c r="C122" s="45" t="s">
        <v>238</v>
      </c>
      <c r="D122" s="765">
        <v>0</v>
      </c>
      <c r="E122" s="765">
        <v>0</v>
      </c>
      <c r="F122" s="765">
        <v>0</v>
      </c>
      <c r="G122" s="765">
        <v>0</v>
      </c>
      <c r="H122" s="765">
        <v>0</v>
      </c>
      <c r="I122" s="765">
        <v>0</v>
      </c>
      <c r="J122" s="765">
        <v>0</v>
      </c>
      <c r="M122" s="898"/>
      <c r="N122" s="898"/>
    </row>
    <row r="123" spans="1:14" x14ac:dyDescent="0.2">
      <c r="A123" s="80">
        <v>113</v>
      </c>
      <c r="B123" s="900" t="s">
        <v>239</v>
      </c>
      <c r="C123" s="4" t="s">
        <v>240</v>
      </c>
      <c r="D123" s="765">
        <v>0</v>
      </c>
      <c r="E123" s="765">
        <v>0</v>
      </c>
      <c r="F123" s="765">
        <v>0</v>
      </c>
      <c r="G123" s="765">
        <v>0</v>
      </c>
      <c r="H123" s="765">
        <v>0</v>
      </c>
      <c r="I123" s="765">
        <v>0</v>
      </c>
      <c r="J123" s="765">
        <v>0</v>
      </c>
      <c r="M123" s="898"/>
      <c r="N123" s="898"/>
    </row>
    <row r="124" spans="1:14" x14ac:dyDescent="0.2">
      <c r="A124" s="80">
        <v>114</v>
      </c>
      <c r="B124" s="897" t="s">
        <v>241</v>
      </c>
      <c r="C124" s="907" t="s">
        <v>242</v>
      </c>
      <c r="D124" s="765">
        <v>0</v>
      </c>
      <c r="E124" s="765">
        <v>0</v>
      </c>
      <c r="F124" s="765">
        <v>0</v>
      </c>
      <c r="G124" s="765">
        <v>0</v>
      </c>
      <c r="H124" s="765">
        <v>0</v>
      </c>
      <c r="I124" s="765">
        <v>0</v>
      </c>
      <c r="J124" s="765">
        <v>0</v>
      </c>
      <c r="M124" s="898"/>
      <c r="N124" s="898"/>
    </row>
    <row r="125" spans="1:14" x14ac:dyDescent="0.2">
      <c r="A125" s="80">
        <v>115</v>
      </c>
      <c r="B125" s="900" t="s">
        <v>243</v>
      </c>
      <c r="C125" s="70" t="s">
        <v>385</v>
      </c>
      <c r="D125" s="765">
        <v>0</v>
      </c>
      <c r="E125" s="765">
        <v>0</v>
      </c>
      <c r="F125" s="765">
        <v>0</v>
      </c>
      <c r="G125" s="765">
        <v>0</v>
      </c>
      <c r="H125" s="765">
        <v>0</v>
      </c>
      <c r="I125" s="765">
        <v>0</v>
      </c>
      <c r="J125" s="765">
        <v>0</v>
      </c>
      <c r="M125" s="898"/>
      <c r="N125" s="898"/>
    </row>
    <row r="126" spans="1:14" x14ac:dyDescent="0.2">
      <c r="A126" s="80">
        <v>116</v>
      </c>
      <c r="B126" s="899" t="s">
        <v>244</v>
      </c>
      <c r="C126" s="4" t="s">
        <v>325</v>
      </c>
      <c r="D126" s="765">
        <v>0</v>
      </c>
      <c r="E126" s="765">
        <v>0</v>
      </c>
      <c r="F126" s="765">
        <v>0</v>
      </c>
      <c r="G126" s="765">
        <v>0</v>
      </c>
      <c r="H126" s="765">
        <v>0</v>
      </c>
      <c r="I126" s="765">
        <v>0</v>
      </c>
      <c r="J126" s="765">
        <v>0</v>
      </c>
      <c r="M126" s="898"/>
      <c r="N126" s="898"/>
    </row>
    <row r="127" spans="1:14" x14ac:dyDescent="0.2">
      <c r="A127" s="80">
        <v>117</v>
      </c>
      <c r="B127" s="899" t="s">
        <v>246</v>
      </c>
      <c r="C127" s="4" t="s">
        <v>247</v>
      </c>
      <c r="D127" s="765">
        <v>0</v>
      </c>
      <c r="E127" s="765">
        <v>0</v>
      </c>
      <c r="F127" s="765">
        <v>0</v>
      </c>
      <c r="G127" s="765">
        <v>0</v>
      </c>
      <c r="H127" s="765">
        <v>0</v>
      </c>
      <c r="I127" s="765">
        <v>0</v>
      </c>
      <c r="J127" s="765">
        <v>0</v>
      </c>
      <c r="M127" s="898"/>
      <c r="N127" s="898"/>
    </row>
    <row r="128" spans="1:14" x14ac:dyDescent="0.2">
      <c r="A128" s="80">
        <v>118</v>
      </c>
      <c r="B128" s="899" t="s">
        <v>248</v>
      </c>
      <c r="C128" s="4" t="s">
        <v>249</v>
      </c>
      <c r="D128" s="765">
        <v>0</v>
      </c>
      <c r="E128" s="765">
        <v>0</v>
      </c>
      <c r="F128" s="765">
        <v>0</v>
      </c>
      <c r="G128" s="765">
        <v>0</v>
      </c>
      <c r="H128" s="765">
        <v>0</v>
      </c>
      <c r="I128" s="765">
        <v>0</v>
      </c>
      <c r="J128" s="765">
        <v>0</v>
      </c>
      <c r="M128" s="898"/>
      <c r="N128" s="898"/>
    </row>
    <row r="129" spans="1:14" x14ac:dyDescent="0.2">
      <c r="A129" s="80">
        <v>119</v>
      </c>
      <c r="B129" s="897" t="s">
        <v>250</v>
      </c>
      <c r="C129" s="45" t="s">
        <v>251</v>
      </c>
      <c r="D129" s="765">
        <v>0</v>
      </c>
      <c r="E129" s="765">
        <v>0</v>
      </c>
      <c r="F129" s="765">
        <v>0</v>
      </c>
      <c r="G129" s="765">
        <v>0</v>
      </c>
      <c r="H129" s="765">
        <v>0</v>
      </c>
      <c r="I129" s="765">
        <v>0</v>
      </c>
      <c r="J129" s="765">
        <v>0</v>
      </c>
      <c r="M129" s="898"/>
      <c r="N129" s="898"/>
    </row>
    <row r="130" spans="1:14" x14ac:dyDescent="0.2">
      <c r="A130" s="80">
        <v>120</v>
      </c>
      <c r="B130" s="899" t="s">
        <v>252</v>
      </c>
      <c r="C130" s="45" t="s">
        <v>253</v>
      </c>
      <c r="D130" s="765">
        <v>0</v>
      </c>
      <c r="E130" s="765">
        <v>0</v>
      </c>
      <c r="F130" s="765">
        <v>0</v>
      </c>
      <c r="G130" s="765">
        <v>0</v>
      </c>
      <c r="H130" s="765">
        <v>0</v>
      </c>
      <c r="I130" s="765">
        <v>0</v>
      </c>
      <c r="J130" s="765">
        <v>0</v>
      </c>
      <c r="M130" s="898"/>
      <c r="N130" s="898"/>
    </row>
    <row r="131" spans="1:14" x14ac:dyDescent="0.2">
      <c r="A131" s="80">
        <v>121</v>
      </c>
      <c r="B131" s="900" t="s">
        <v>254</v>
      </c>
      <c r="C131" s="4" t="s">
        <v>255</v>
      </c>
      <c r="D131" s="765">
        <v>0</v>
      </c>
      <c r="E131" s="765">
        <v>0</v>
      </c>
      <c r="F131" s="765">
        <v>0</v>
      </c>
      <c r="G131" s="765">
        <v>0</v>
      </c>
      <c r="H131" s="765">
        <v>0</v>
      </c>
      <c r="I131" s="765">
        <v>0</v>
      </c>
      <c r="J131" s="765">
        <v>0</v>
      </c>
      <c r="M131" s="898"/>
      <c r="N131" s="898"/>
    </row>
    <row r="132" spans="1:14" x14ac:dyDescent="0.2">
      <c r="A132" s="80">
        <v>122</v>
      </c>
      <c r="B132" s="900" t="s">
        <v>256</v>
      </c>
      <c r="C132" s="4" t="s">
        <v>257</v>
      </c>
      <c r="D132" s="765">
        <v>0</v>
      </c>
      <c r="E132" s="765">
        <v>0</v>
      </c>
      <c r="F132" s="765">
        <v>0</v>
      </c>
      <c r="G132" s="765">
        <v>0</v>
      </c>
      <c r="H132" s="765">
        <v>0</v>
      </c>
      <c r="I132" s="765">
        <v>0</v>
      </c>
      <c r="J132" s="765">
        <v>0</v>
      </c>
      <c r="M132" s="898"/>
      <c r="N132" s="898"/>
    </row>
    <row r="133" spans="1:14" x14ac:dyDescent="0.2">
      <c r="A133" s="80">
        <v>123</v>
      </c>
      <c r="B133" s="900" t="s">
        <v>258</v>
      </c>
      <c r="C133" s="4" t="s">
        <v>259</v>
      </c>
      <c r="D133" s="765">
        <v>0</v>
      </c>
      <c r="E133" s="765">
        <v>0</v>
      </c>
      <c r="F133" s="765">
        <v>0</v>
      </c>
      <c r="G133" s="765">
        <v>0</v>
      </c>
      <c r="H133" s="765">
        <v>0</v>
      </c>
      <c r="I133" s="765">
        <v>0</v>
      </c>
      <c r="J133" s="765">
        <v>0</v>
      </c>
      <c r="M133" s="898"/>
      <c r="N133" s="898"/>
    </row>
    <row r="134" spans="1:14" x14ac:dyDescent="0.2">
      <c r="A134" s="80">
        <v>124</v>
      </c>
      <c r="B134" s="900" t="s">
        <v>260</v>
      </c>
      <c r="C134" s="4" t="s">
        <v>261</v>
      </c>
      <c r="D134" s="765">
        <v>0</v>
      </c>
      <c r="E134" s="765">
        <v>0</v>
      </c>
      <c r="F134" s="765">
        <v>0</v>
      </c>
      <c r="G134" s="765">
        <v>0</v>
      </c>
      <c r="H134" s="765">
        <v>0</v>
      </c>
      <c r="I134" s="765">
        <v>0</v>
      </c>
      <c r="J134" s="765">
        <v>0</v>
      </c>
      <c r="M134" s="898"/>
      <c r="N134" s="898"/>
    </row>
    <row r="135" spans="1:14" x14ac:dyDescent="0.2">
      <c r="A135" s="80">
        <v>125</v>
      </c>
      <c r="B135" s="900" t="s">
        <v>262</v>
      </c>
      <c r="C135" s="4" t="s">
        <v>263</v>
      </c>
      <c r="D135" s="765">
        <v>0</v>
      </c>
      <c r="E135" s="765">
        <v>0</v>
      </c>
      <c r="F135" s="765">
        <v>0</v>
      </c>
      <c r="G135" s="765">
        <v>0</v>
      </c>
      <c r="H135" s="765">
        <v>0</v>
      </c>
      <c r="I135" s="765">
        <v>0</v>
      </c>
      <c r="J135" s="765">
        <v>0</v>
      </c>
      <c r="M135" s="898"/>
      <c r="N135" s="898"/>
    </row>
    <row r="136" spans="1:14" x14ac:dyDescent="0.2">
      <c r="A136" s="80">
        <v>126</v>
      </c>
      <c r="B136" s="897" t="s">
        <v>264</v>
      </c>
      <c r="C136" s="45" t="s">
        <v>265</v>
      </c>
      <c r="D136" s="765">
        <v>0</v>
      </c>
      <c r="E136" s="765">
        <v>0</v>
      </c>
      <c r="F136" s="765">
        <v>0</v>
      </c>
      <c r="G136" s="765">
        <v>0</v>
      </c>
      <c r="H136" s="765">
        <v>0</v>
      </c>
      <c r="I136" s="765">
        <v>0</v>
      </c>
      <c r="J136" s="765">
        <v>0</v>
      </c>
      <c r="M136" s="898"/>
      <c r="N136" s="898"/>
    </row>
    <row r="137" spans="1:14" x14ac:dyDescent="0.2">
      <c r="A137" s="80">
        <v>127</v>
      </c>
      <c r="B137" s="897" t="s">
        <v>266</v>
      </c>
      <c r="C137" s="4" t="s">
        <v>267</v>
      </c>
      <c r="D137" s="765">
        <v>0</v>
      </c>
      <c r="E137" s="765">
        <v>0</v>
      </c>
      <c r="F137" s="765">
        <v>0</v>
      </c>
      <c r="G137" s="765">
        <v>0</v>
      </c>
      <c r="H137" s="765">
        <v>0</v>
      </c>
      <c r="I137" s="765">
        <v>0</v>
      </c>
      <c r="J137" s="765">
        <v>0</v>
      </c>
      <c r="M137" s="898"/>
      <c r="N137" s="898"/>
    </row>
    <row r="138" spans="1:14" x14ac:dyDescent="0.2">
      <c r="A138" s="80">
        <v>128</v>
      </c>
      <c r="B138" s="901" t="s">
        <v>268</v>
      </c>
      <c r="C138" s="369" t="s">
        <v>269</v>
      </c>
      <c r="D138" s="765">
        <v>0</v>
      </c>
      <c r="E138" s="765">
        <v>0</v>
      </c>
      <c r="F138" s="765">
        <v>0</v>
      </c>
      <c r="G138" s="765">
        <v>0</v>
      </c>
      <c r="H138" s="765">
        <v>0</v>
      </c>
      <c r="I138" s="765">
        <v>0</v>
      </c>
      <c r="J138" s="765">
        <v>0</v>
      </c>
      <c r="M138" s="898"/>
      <c r="N138" s="898"/>
    </row>
    <row r="139" spans="1:14" x14ac:dyDescent="0.2">
      <c r="A139" s="80">
        <v>129</v>
      </c>
      <c r="B139" s="900" t="s">
        <v>270</v>
      </c>
      <c r="C139" s="4" t="s">
        <v>271</v>
      </c>
      <c r="D139" s="765">
        <v>0</v>
      </c>
      <c r="E139" s="765">
        <v>0</v>
      </c>
      <c r="F139" s="765">
        <v>0</v>
      </c>
      <c r="G139" s="765">
        <v>0</v>
      </c>
      <c r="H139" s="765">
        <v>0</v>
      </c>
      <c r="I139" s="765">
        <v>0</v>
      </c>
      <c r="J139" s="765">
        <v>0</v>
      </c>
      <c r="M139" s="898"/>
      <c r="N139" s="898"/>
    </row>
    <row r="140" spans="1:14" x14ac:dyDescent="0.2">
      <c r="A140" s="80">
        <v>130</v>
      </c>
      <c r="B140" s="900" t="s">
        <v>272</v>
      </c>
      <c r="C140" s="4" t="s">
        <v>273</v>
      </c>
      <c r="D140" s="765">
        <v>0</v>
      </c>
      <c r="E140" s="765">
        <v>0</v>
      </c>
      <c r="F140" s="765">
        <v>0</v>
      </c>
      <c r="G140" s="765">
        <v>0</v>
      </c>
      <c r="H140" s="765">
        <v>0</v>
      </c>
      <c r="I140" s="765">
        <v>0</v>
      </c>
      <c r="J140" s="765">
        <v>0</v>
      </c>
      <c r="M140" s="898"/>
      <c r="N140" s="898"/>
    </row>
    <row r="141" spans="1:14" x14ac:dyDescent="0.2">
      <c r="A141" s="80">
        <v>131</v>
      </c>
      <c r="B141" s="900" t="s">
        <v>274</v>
      </c>
      <c r="C141" s="4" t="s">
        <v>275</v>
      </c>
      <c r="D141" s="765">
        <v>0</v>
      </c>
      <c r="E141" s="765">
        <v>0</v>
      </c>
      <c r="F141" s="765">
        <v>0</v>
      </c>
      <c r="G141" s="765">
        <v>0</v>
      </c>
      <c r="H141" s="765">
        <v>0</v>
      </c>
      <c r="I141" s="765">
        <v>0</v>
      </c>
      <c r="J141" s="765">
        <v>0</v>
      </c>
      <c r="M141" s="898"/>
      <c r="N141" s="898"/>
    </row>
    <row r="142" spans="1:14" x14ac:dyDescent="0.2">
      <c r="A142" s="80">
        <v>132</v>
      </c>
      <c r="B142" s="901" t="s">
        <v>276</v>
      </c>
      <c r="C142" s="369" t="s">
        <v>277</v>
      </c>
      <c r="D142" s="765">
        <v>11210</v>
      </c>
      <c r="E142" s="765">
        <v>3022</v>
      </c>
      <c r="F142" s="765">
        <v>3022</v>
      </c>
      <c r="G142" s="765">
        <v>906</v>
      </c>
      <c r="H142" s="765">
        <v>302</v>
      </c>
      <c r="I142" s="765">
        <v>302</v>
      </c>
      <c r="J142" s="765">
        <v>302</v>
      </c>
      <c r="M142" s="898"/>
      <c r="N142" s="898"/>
    </row>
    <row r="143" spans="1:14" x14ac:dyDescent="0.2">
      <c r="A143" s="80">
        <v>133</v>
      </c>
      <c r="B143" s="899" t="s">
        <v>278</v>
      </c>
      <c r="C143" s="369" t="s">
        <v>279</v>
      </c>
      <c r="D143" s="765">
        <v>14154</v>
      </c>
      <c r="E143" s="765">
        <v>4290</v>
      </c>
      <c r="F143" s="765">
        <v>4290</v>
      </c>
      <c r="G143" s="765">
        <v>1287</v>
      </c>
      <c r="H143" s="765">
        <v>429</v>
      </c>
      <c r="I143" s="765">
        <v>429</v>
      </c>
      <c r="J143" s="765">
        <v>429</v>
      </c>
      <c r="M143" s="898"/>
      <c r="N143" s="898"/>
    </row>
    <row r="144" spans="1:14" x14ac:dyDescent="0.2">
      <c r="A144" s="80">
        <v>134</v>
      </c>
      <c r="B144" s="900" t="s">
        <v>280</v>
      </c>
      <c r="C144" s="4" t="s">
        <v>281</v>
      </c>
      <c r="D144" s="765">
        <v>0</v>
      </c>
      <c r="E144" s="765">
        <v>0</v>
      </c>
      <c r="F144" s="765">
        <v>0</v>
      </c>
      <c r="G144" s="765">
        <v>0</v>
      </c>
      <c r="H144" s="765">
        <v>0</v>
      </c>
      <c r="I144" s="765">
        <v>0</v>
      </c>
      <c r="J144" s="765">
        <v>0</v>
      </c>
      <c r="M144" s="898"/>
      <c r="N144" s="898"/>
    </row>
    <row r="145" spans="1:16" x14ac:dyDescent="0.2">
      <c r="A145" s="80">
        <v>135</v>
      </c>
      <c r="B145" s="897" t="s">
        <v>282</v>
      </c>
      <c r="C145" s="45" t="s">
        <v>283</v>
      </c>
      <c r="D145" s="765">
        <v>0</v>
      </c>
      <c r="E145" s="765">
        <v>0</v>
      </c>
      <c r="F145" s="765">
        <v>0</v>
      </c>
      <c r="G145" s="765">
        <v>0</v>
      </c>
      <c r="H145" s="765">
        <v>0</v>
      </c>
      <c r="I145" s="765">
        <v>0</v>
      </c>
      <c r="J145" s="765">
        <v>0</v>
      </c>
      <c r="M145" s="898"/>
      <c r="N145" s="898"/>
    </row>
    <row r="146" spans="1:16" x14ac:dyDescent="0.2">
      <c r="A146" s="80">
        <v>136</v>
      </c>
      <c r="B146" s="900" t="s">
        <v>284</v>
      </c>
      <c r="C146" s="4" t="s">
        <v>285</v>
      </c>
      <c r="D146" s="765">
        <v>0</v>
      </c>
      <c r="E146" s="765">
        <v>0</v>
      </c>
      <c r="F146" s="765">
        <v>0</v>
      </c>
      <c r="G146" s="765">
        <v>0</v>
      </c>
      <c r="H146" s="765">
        <v>0</v>
      </c>
      <c r="I146" s="765">
        <v>0</v>
      </c>
      <c r="J146" s="765">
        <v>0</v>
      </c>
      <c r="M146" s="898"/>
      <c r="N146" s="898"/>
    </row>
    <row r="147" spans="1:16" x14ac:dyDescent="0.2">
      <c r="A147" s="80">
        <v>137</v>
      </c>
      <c r="B147" s="71" t="s">
        <v>387</v>
      </c>
      <c r="C147" s="72" t="s">
        <v>388</v>
      </c>
      <c r="D147" s="765">
        <v>0</v>
      </c>
      <c r="E147" s="765">
        <v>0</v>
      </c>
      <c r="F147" s="765">
        <v>0</v>
      </c>
      <c r="G147" s="765"/>
      <c r="H147" s="765">
        <v>0</v>
      </c>
      <c r="I147" s="765">
        <v>0</v>
      </c>
      <c r="J147" s="765">
        <v>0</v>
      </c>
      <c r="M147" s="898"/>
      <c r="N147" s="898"/>
    </row>
    <row r="148" spans="1:16" x14ac:dyDescent="0.2">
      <c r="A148" s="80">
        <v>138</v>
      </c>
      <c r="B148" s="73" t="s">
        <v>389</v>
      </c>
      <c r="C148" s="74" t="s">
        <v>390</v>
      </c>
      <c r="D148" s="765">
        <v>0</v>
      </c>
      <c r="E148" s="765">
        <v>0</v>
      </c>
      <c r="F148" s="765">
        <v>0</v>
      </c>
      <c r="G148" s="765"/>
      <c r="H148" s="765">
        <v>0</v>
      </c>
      <c r="I148" s="765">
        <v>0</v>
      </c>
      <c r="J148" s="765">
        <v>0</v>
      </c>
      <c r="M148" s="898"/>
      <c r="N148" s="898"/>
    </row>
    <row r="149" spans="1:16" x14ac:dyDescent="0.2">
      <c r="A149" s="80">
        <v>139</v>
      </c>
      <c r="B149" s="75" t="s">
        <v>391</v>
      </c>
      <c r="C149" s="76" t="s">
        <v>392</v>
      </c>
      <c r="D149" s="765">
        <v>0</v>
      </c>
      <c r="E149" s="765">
        <v>0</v>
      </c>
      <c r="F149" s="765">
        <v>0</v>
      </c>
      <c r="G149" s="765"/>
      <c r="H149" s="765">
        <v>0</v>
      </c>
      <c r="I149" s="765">
        <v>0</v>
      </c>
      <c r="J149" s="765">
        <v>0</v>
      </c>
      <c r="M149" s="898"/>
      <c r="N149" s="898"/>
    </row>
    <row r="150" spans="1:16" x14ac:dyDescent="0.2">
      <c r="A150" s="80">
        <v>140</v>
      </c>
      <c r="B150" s="80" t="s">
        <v>393</v>
      </c>
      <c r="C150" s="81" t="s">
        <v>394</v>
      </c>
      <c r="D150" s="765">
        <v>0</v>
      </c>
      <c r="E150" s="765">
        <v>0</v>
      </c>
      <c r="F150" s="765">
        <v>0</v>
      </c>
      <c r="G150" s="765"/>
      <c r="H150" s="765">
        <v>0</v>
      </c>
      <c r="I150" s="765">
        <v>0</v>
      </c>
      <c r="J150" s="765">
        <v>0</v>
      </c>
      <c r="M150" s="898"/>
      <c r="N150" s="898"/>
    </row>
    <row r="151" spans="1:16" ht="12" customHeight="1" x14ac:dyDescent="0.2"/>
    <row r="153" spans="1:16" ht="48.75" customHeight="1" x14ac:dyDescent="0.2">
      <c r="A153" s="1101" t="s">
        <v>384</v>
      </c>
      <c r="B153" s="1101"/>
      <c r="C153" s="1101"/>
      <c r="D153" s="1101"/>
      <c r="E153" s="1101"/>
      <c r="F153" s="1101"/>
      <c r="G153" s="1101"/>
      <c r="H153" s="1101"/>
      <c r="I153" s="1101"/>
      <c r="J153" s="1101"/>
      <c r="K153" s="908"/>
      <c r="L153" s="908"/>
      <c r="M153" s="908"/>
      <c r="N153" s="908"/>
      <c r="O153" s="908"/>
      <c r="P153" s="908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123" t="s">
        <v>291</v>
      </c>
      <c r="D1" s="1123"/>
      <c r="E1" s="1123"/>
      <c r="F1" s="1123"/>
      <c r="G1" s="1123"/>
      <c r="H1" s="1123"/>
      <c r="I1" s="1123"/>
      <c r="J1" s="1123"/>
      <c r="K1" s="1123"/>
      <c r="L1" s="1123"/>
    </row>
    <row r="3" spans="1:16" x14ac:dyDescent="0.2">
      <c r="A3" s="1120" t="s">
        <v>0</v>
      </c>
      <c r="B3" s="1120" t="s">
        <v>1</v>
      </c>
      <c r="C3" s="1124" t="s">
        <v>292</v>
      </c>
      <c r="D3" s="1120" t="s">
        <v>337</v>
      </c>
      <c r="E3" s="1120" t="s">
        <v>293</v>
      </c>
      <c r="F3" s="1120"/>
      <c r="G3" s="1125" t="s">
        <v>294</v>
      </c>
      <c r="H3" s="1126"/>
      <c r="I3" s="1126"/>
      <c r="J3" s="1126"/>
      <c r="K3" s="1126"/>
      <c r="L3" s="1127"/>
    </row>
    <row r="4" spans="1:16" ht="12.75" customHeight="1" x14ac:dyDescent="0.2">
      <c r="A4" s="1120"/>
      <c r="B4" s="1120"/>
      <c r="C4" s="1124"/>
      <c r="D4" s="1120"/>
      <c r="E4" s="1120"/>
      <c r="F4" s="1120"/>
      <c r="G4" s="1128" t="s">
        <v>295</v>
      </c>
      <c r="H4" s="1129"/>
      <c r="I4" s="1130"/>
      <c r="J4" s="1128" t="s">
        <v>296</v>
      </c>
      <c r="K4" s="1129"/>
      <c r="L4" s="1130"/>
    </row>
    <row r="5" spans="1:16" ht="12.75" customHeight="1" x14ac:dyDescent="0.2">
      <c r="A5" s="1120"/>
      <c r="B5" s="1120"/>
      <c r="C5" s="1124"/>
      <c r="D5" s="1120"/>
      <c r="E5" s="1120" t="s">
        <v>335</v>
      </c>
      <c r="F5" s="1120" t="s">
        <v>336</v>
      </c>
      <c r="G5" s="1121" t="s">
        <v>338</v>
      </c>
      <c r="H5" s="1120" t="s">
        <v>335</v>
      </c>
      <c r="I5" s="1120" t="s">
        <v>336</v>
      </c>
      <c r="J5" s="1121" t="s">
        <v>338</v>
      </c>
      <c r="K5" s="1120" t="s">
        <v>335</v>
      </c>
      <c r="L5" s="1120" t="s">
        <v>336</v>
      </c>
    </row>
    <row r="6" spans="1:16" ht="39.75" customHeight="1" x14ac:dyDescent="0.2">
      <c r="A6" s="1120"/>
      <c r="B6" s="1120"/>
      <c r="C6" s="1124"/>
      <c r="D6" s="1120"/>
      <c r="E6" s="1120"/>
      <c r="F6" s="1120"/>
      <c r="G6" s="1122"/>
      <c r="H6" s="1120"/>
      <c r="I6" s="1120"/>
      <c r="J6" s="1122"/>
      <c r="K6" s="1120"/>
      <c r="L6" s="1120"/>
    </row>
    <row r="7" spans="1:16" s="41" customFormat="1" ht="11.25" x14ac:dyDescent="0.2">
      <c r="A7" s="37">
        <v>1</v>
      </c>
      <c r="B7" s="38">
        <v>2</v>
      </c>
      <c r="C7" s="39">
        <v>3</v>
      </c>
      <c r="D7" s="37">
        <v>4</v>
      </c>
      <c r="E7" s="37">
        <v>5</v>
      </c>
      <c r="F7" s="37">
        <v>6</v>
      </c>
      <c r="G7" s="37">
        <v>7</v>
      </c>
      <c r="H7" s="40">
        <v>8</v>
      </c>
      <c r="I7" s="40">
        <v>9</v>
      </c>
      <c r="J7" s="40">
        <v>10</v>
      </c>
      <c r="K7" s="40">
        <v>11</v>
      </c>
      <c r="L7" s="40">
        <v>12</v>
      </c>
    </row>
    <row r="8" spans="1:16" s="41" customFormat="1" ht="19.5" customHeight="1" x14ac:dyDescent="0.2">
      <c r="A8" s="1119" t="s">
        <v>308</v>
      </c>
      <c r="B8" s="1119"/>
      <c r="C8" s="1119"/>
      <c r="D8" s="43">
        <f>E8+F8</f>
        <v>234970</v>
      </c>
      <c r="E8" s="43">
        <f>SUM(E9:E28)</f>
        <v>187978</v>
      </c>
      <c r="F8" s="43">
        <f>SUM(F9:F28)</f>
        <v>46992</v>
      </c>
      <c r="G8" s="43">
        <f>H8+I8</f>
        <v>181343</v>
      </c>
      <c r="H8" s="42">
        <f>SUM(H9:H28)</f>
        <v>145075</v>
      </c>
      <c r="I8" s="42">
        <f>SUM(I9:I28)</f>
        <v>36268</v>
      </c>
      <c r="J8" s="42">
        <f>K8+L8</f>
        <v>53627</v>
      </c>
      <c r="K8" s="42">
        <f t="shared" ref="K8:L8" si="0">SUM(K9:K28)</f>
        <v>42903</v>
      </c>
      <c r="L8" s="42">
        <f t="shared" si="0"/>
        <v>10724</v>
      </c>
    </row>
    <row r="9" spans="1:16" x14ac:dyDescent="0.2">
      <c r="A9" s="8">
        <v>1</v>
      </c>
      <c r="B9" s="36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36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36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36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36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36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36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36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36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36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36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36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36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36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36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36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36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36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36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36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8"/>
  <sheetViews>
    <sheetView workbookViewId="0">
      <selection activeCell="G27" sqref="G27"/>
    </sheetView>
  </sheetViews>
  <sheetFormatPr defaultRowHeight="12.75" x14ac:dyDescent="0.2"/>
  <cols>
    <col min="1" max="1" width="6.5703125" style="16" customWidth="1"/>
    <col min="2" max="2" width="11.85546875" style="16" customWidth="1"/>
    <col min="3" max="3" width="42.85546875" style="16" customWidth="1"/>
    <col min="4" max="4" width="40.7109375" style="16" customWidth="1"/>
    <col min="5" max="6" width="9.140625" style="16" customWidth="1"/>
    <col min="7" max="7" width="10.7109375" style="16" customWidth="1"/>
    <col min="8" max="8" width="10.42578125" style="16" customWidth="1"/>
    <col min="9" max="16384" width="9.140625" style="16"/>
  </cols>
  <sheetData>
    <row r="1" spans="1:6" ht="42.75" customHeight="1" x14ac:dyDescent="0.2">
      <c r="A1" s="1134" t="s">
        <v>334</v>
      </c>
      <c r="B1" s="1134"/>
      <c r="C1" s="1134"/>
      <c r="D1" s="1134"/>
    </row>
    <row r="2" spans="1:6" x14ac:dyDescent="0.2">
      <c r="A2" s="17"/>
      <c r="B2" s="17"/>
      <c r="C2" s="18"/>
      <c r="D2" s="18"/>
    </row>
    <row r="3" spans="1:6" ht="12.75" customHeight="1" x14ac:dyDescent="0.25">
      <c r="A3" s="19"/>
      <c r="B3" s="19"/>
      <c r="C3" s="20"/>
      <c r="D3" s="21" t="s">
        <v>326</v>
      </c>
    </row>
    <row r="4" spans="1:6" s="22" customFormat="1" ht="38.25" customHeight="1" x14ac:dyDescent="0.2">
      <c r="A4" s="1135" t="s">
        <v>0</v>
      </c>
      <c r="B4" s="1103" t="s">
        <v>1</v>
      </c>
      <c r="C4" s="1135" t="s">
        <v>2</v>
      </c>
      <c r="D4" s="820" t="s">
        <v>327</v>
      </c>
      <c r="F4" s="23"/>
    </row>
    <row r="5" spans="1:6" s="22" customFormat="1" ht="20.25" customHeight="1" x14ac:dyDescent="0.2">
      <c r="A5" s="1136"/>
      <c r="B5" s="1104"/>
      <c r="C5" s="1136"/>
      <c r="D5" s="24" t="s">
        <v>328</v>
      </c>
    </row>
    <row r="6" spans="1:6" s="22" customFormat="1" ht="12" customHeight="1" x14ac:dyDescent="0.2">
      <c r="A6" s="1136"/>
      <c r="B6" s="1104"/>
      <c r="C6" s="1136"/>
      <c r="D6" s="1135" t="s">
        <v>329</v>
      </c>
    </row>
    <row r="7" spans="1:6" s="22" customFormat="1" ht="35.25" customHeight="1" x14ac:dyDescent="0.2">
      <c r="A7" s="1137"/>
      <c r="B7" s="1138"/>
      <c r="C7" s="1137"/>
      <c r="D7" s="1137"/>
    </row>
    <row r="8" spans="1:6" s="28" customFormat="1" ht="11.25" x14ac:dyDescent="0.2">
      <c r="A8" s="25">
        <v>1</v>
      </c>
      <c r="B8" s="26">
        <v>2</v>
      </c>
      <c r="C8" s="909">
        <v>3</v>
      </c>
      <c r="D8" s="27">
        <v>4</v>
      </c>
    </row>
    <row r="9" spans="1:6" s="28" customFormat="1" ht="15" customHeight="1" x14ac:dyDescent="0.2">
      <c r="A9" s="1131" t="s">
        <v>308</v>
      </c>
      <c r="B9" s="1132"/>
      <c r="C9" s="1133"/>
      <c r="D9" s="44">
        <f>SUM(D10:D16)</f>
        <v>211651</v>
      </c>
      <c r="E9" s="29"/>
      <c r="F9" s="29"/>
    </row>
    <row r="10" spans="1:6" s="32" customFormat="1" ht="15" x14ac:dyDescent="0.2">
      <c r="A10" s="30">
        <v>1</v>
      </c>
      <c r="B10" s="30" t="s">
        <v>50</v>
      </c>
      <c r="C10" s="910" t="s">
        <v>51</v>
      </c>
      <c r="D10" s="31">
        <v>15142</v>
      </c>
      <c r="E10" s="29"/>
    </row>
    <row r="11" spans="1:6" s="32" customFormat="1" ht="15" x14ac:dyDescent="0.2">
      <c r="A11" s="30">
        <v>2</v>
      </c>
      <c r="B11" s="911" t="s">
        <v>66</v>
      </c>
      <c r="C11" s="912" t="s">
        <v>67</v>
      </c>
      <c r="D11" s="31">
        <v>27845</v>
      </c>
      <c r="E11" s="29"/>
    </row>
    <row r="12" spans="1:6" s="32" customFormat="1" ht="15" x14ac:dyDescent="0.2">
      <c r="A12" s="30">
        <v>3</v>
      </c>
      <c r="B12" s="33" t="s">
        <v>68</v>
      </c>
      <c r="C12" s="910" t="s">
        <v>69</v>
      </c>
      <c r="D12" s="31">
        <f>47735-27845</f>
        <v>19890</v>
      </c>
      <c r="E12" s="29"/>
    </row>
    <row r="13" spans="1:6" s="32" customFormat="1" ht="15" x14ac:dyDescent="0.2">
      <c r="A13" s="30">
        <v>4</v>
      </c>
      <c r="B13" s="30" t="s">
        <v>99</v>
      </c>
      <c r="C13" s="913" t="s">
        <v>330</v>
      </c>
      <c r="D13" s="31">
        <v>21443</v>
      </c>
      <c r="E13" s="29"/>
    </row>
    <row r="14" spans="1:6" s="32" customFormat="1" ht="15" x14ac:dyDescent="0.2">
      <c r="A14" s="30">
        <v>5</v>
      </c>
      <c r="B14" s="30" t="s">
        <v>260</v>
      </c>
      <c r="C14" s="910" t="s">
        <v>331</v>
      </c>
      <c r="D14" s="31">
        <v>49902</v>
      </c>
      <c r="E14" s="29"/>
    </row>
    <row r="15" spans="1:6" ht="15" x14ac:dyDescent="0.2">
      <c r="A15" s="30">
        <v>6</v>
      </c>
      <c r="B15" s="30" t="s">
        <v>16</v>
      </c>
      <c r="C15" s="910" t="s">
        <v>17</v>
      </c>
      <c r="D15" s="31">
        <v>2099</v>
      </c>
      <c r="E15" s="29"/>
    </row>
    <row r="16" spans="1:6" ht="15" x14ac:dyDescent="0.2">
      <c r="A16" s="30">
        <v>7</v>
      </c>
      <c r="B16" s="30" t="s">
        <v>169</v>
      </c>
      <c r="C16" s="34" t="s">
        <v>170</v>
      </c>
      <c r="D16" s="31">
        <v>75330</v>
      </c>
      <c r="E16" s="29"/>
    </row>
    <row r="18" spans="2:2" ht="15" x14ac:dyDescent="0.2">
      <c r="B18" s="35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82" customWidth="1"/>
    <col min="2" max="2" width="9.28515625" style="82" customWidth="1"/>
    <col min="3" max="3" width="30.7109375" style="68" customWidth="1"/>
    <col min="4" max="4" width="0.140625" style="83" customWidth="1"/>
    <col min="5" max="5" width="9.42578125" style="93" customWidth="1"/>
    <col min="6" max="6" width="11.7109375" style="93" customWidth="1"/>
    <col min="7" max="7" width="12.42578125" style="93" customWidth="1"/>
    <col min="8" max="8" width="10.140625" style="103" customWidth="1"/>
    <col min="9" max="9" width="12.7109375" style="103" customWidth="1"/>
    <col min="10" max="10" width="10.140625" style="104" customWidth="1"/>
    <col min="11" max="11" width="14.7109375" style="85" customWidth="1"/>
    <col min="12" max="12" width="11.28515625" style="85" customWidth="1"/>
    <col min="13" max="16384" width="9.140625" style="85"/>
  </cols>
  <sheetData>
    <row r="1" spans="1:12" x14ac:dyDescent="0.25">
      <c r="E1" s="84"/>
      <c r="F1" s="84"/>
      <c r="G1" s="84"/>
      <c r="H1" s="84"/>
      <c r="I1" s="84"/>
      <c r="J1" s="84"/>
    </row>
    <row r="2" spans="1:12" ht="15.75" customHeight="1" x14ac:dyDescent="0.25">
      <c r="C2" s="1141" t="s">
        <v>435</v>
      </c>
      <c r="D2" s="1141"/>
      <c r="E2" s="1141"/>
      <c r="F2" s="1141"/>
      <c r="G2" s="1141"/>
      <c r="H2" s="1141"/>
      <c r="I2" s="1141"/>
      <c r="J2" s="1141"/>
    </row>
    <row r="3" spans="1:12" x14ac:dyDescent="0.25">
      <c r="C3" s="86"/>
      <c r="D3" s="86"/>
      <c r="E3" s="87"/>
      <c r="F3" s="87"/>
      <c r="G3" s="87"/>
      <c r="H3" s="88"/>
      <c r="I3" s="88"/>
      <c r="J3" s="89"/>
    </row>
    <row r="4" spans="1:12" s="90" customFormat="1" ht="15.75" customHeight="1" x14ac:dyDescent="0.25">
      <c r="A4" s="1142" t="s">
        <v>0</v>
      </c>
      <c r="B4" s="1142" t="s">
        <v>302</v>
      </c>
      <c r="C4" s="1143" t="s">
        <v>292</v>
      </c>
      <c r="D4" s="1142" t="s">
        <v>436</v>
      </c>
      <c r="E4" s="1144" t="s">
        <v>437</v>
      </c>
      <c r="F4" s="1144"/>
      <c r="G4" s="1144"/>
      <c r="H4" s="1144"/>
      <c r="I4" s="1144"/>
      <c r="J4" s="1144"/>
    </row>
    <row r="5" spans="1:12" ht="11.25" customHeight="1" x14ac:dyDescent="0.25">
      <c r="A5" s="1142"/>
      <c r="B5" s="1142"/>
      <c r="C5" s="1143"/>
      <c r="D5" s="1142"/>
      <c r="E5" s="1144"/>
      <c r="F5" s="1144"/>
      <c r="G5" s="1144"/>
      <c r="H5" s="1144"/>
      <c r="I5" s="1144"/>
      <c r="J5" s="1144"/>
    </row>
    <row r="6" spans="1:12" ht="25.5" customHeight="1" x14ac:dyDescent="0.25">
      <c r="A6" s="1142"/>
      <c r="B6" s="1142"/>
      <c r="C6" s="1143"/>
      <c r="D6" s="1142"/>
      <c r="E6" s="1139" t="s">
        <v>438</v>
      </c>
      <c r="F6" s="1139" t="s">
        <v>439</v>
      </c>
      <c r="G6" s="1139" t="s">
        <v>440</v>
      </c>
      <c r="H6" s="1139" t="s">
        <v>441</v>
      </c>
      <c r="I6" s="1139" t="s">
        <v>442</v>
      </c>
      <c r="J6" s="1139" t="s">
        <v>443</v>
      </c>
    </row>
    <row r="7" spans="1:12" ht="35.25" customHeight="1" x14ac:dyDescent="0.25">
      <c r="A7" s="1142"/>
      <c r="B7" s="1142"/>
      <c r="C7" s="1143"/>
      <c r="D7" s="1142"/>
      <c r="E7" s="1139"/>
      <c r="F7" s="1139"/>
      <c r="G7" s="1139"/>
      <c r="H7" s="1139"/>
      <c r="I7" s="1139"/>
      <c r="J7" s="1139"/>
    </row>
    <row r="8" spans="1:12" s="90" customFormat="1" x14ac:dyDescent="0.25">
      <c r="A8" s="1140" t="s">
        <v>444</v>
      </c>
      <c r="B8" s="1140"/>
      <c r="C8" s="1140"/>
      <c r="D8" s="91"/>
      <c r="E8" s="92">
        <f>E9+E10+E11+E12</f>
        <v>1135691</v>
      </c>
      <c r="F8" s="92">
        <f t="shared" ref="F8:J8" si="0">F9+F10+F11+F12</f>
        <v>1035583</v>
      </c>
      <c r="G8" s="92">
        <f t="shared" si="0"/>
        <v>504</v>
      </c>
      <c r="H8" s="92">
        <f t="shared" si="0"/>
        <v>59222</v>
      </c>
      <c r="I8" s="92">
        <f t="shared" si="0"/>
        <v>30</v>
      </c>
      <c r="J8" s="92">
        <f t="shared" si="0"/>
        <v>23735</v>
      </c>
      <c r="L8" s="93"/>
    </row>
    <row r="9" spans="1:12" s="98" customFormat="1" ht="11.25" customHeight="1" x14ac:dyDescent="0.25">
      <c r="A9" s="94"/>
      <c r="B9" s="94"/>
      <c r="C9" s="95" t="s">
        <v>14</v>
      </c>
      <c r="D9" s="96"/>
      <c r="E9" s="97">
        <v>16617</v>
      </c>
      <c r="F9" s="97"/>
      <c r="G9" s="97"/>
      <c r="H9" s="97"/>
      <c r="I9" s="97"/>
      <c r="J9" s="97"/>
      <c r="L9" s="93"/>
    </row>
    <row r="10" spans="1:12" s="98" customFormat="1" ht="11.25" customHeight="1" x14ac:dyDescent="0.25">
      <c r="A10" s="94"/>
      <c r="B10" s="94"/>
      <c r="C10" s="95" t="s">
        <v>445</v>
      </c>
      <c r="D10" s="96"/>
      <c r="E10" s="97"/>
      <c r="F10" s="97"/>
      <c r="G10" s="95"/>
      <c r="H10" s="95"/>
      <c r="I10" s="95"/>
      <c r="J10" s="95"/>
      <c r="L10" s="93"/>
    </row>
    <row r="11" spans="1:12" s="98" customFormat="1" ht="11.25" customHeight="1" x14ac:dyDescent="0.25">
      <c r="A11" s="94"/>
      <c r="B11" s="94"/>
      <c r="C11" s="95" t="s">
        <v>446</v>
      </c>
      <c r="D11" s="96"/>
      <c r="E11" s="95"/>
      <c r="F11" s="95"/>
      <c r="G11" s="95"/>
      <c r="H11" s="95"/>
      <c r="I11" s="95"/>
      <c r="J11" s="95"/>
      <c r="L11" s="93"/>
    </row>
    <row r="12" spans="1:12" s="90" customFormat="1" x14ac:dyDescent="0.25">
      <c r="A12" s="1140" t="s">
        <v>15</v>
      </c>
      <c r="B12" s="1140"/>
      <c r="C12" s="1140"/>
      <c r="D12" s="92"/>
      <c r="E12" s="92">
        <f>SUM(E13:E22)</f>
        <v>1119074</v>
      </c>
      <c r="F12" s="92">
        <f t="shared" ref="F12:J12" si="1">SUM(F13:F22)</f>
        <v>1035583</v>
      </c>
      <c r="G12" s="92">
        <f t="shared" si="1"/>
        <v>504</v>
      </c>
      <c r="H12" s="92">
        <f t="shared" si="1"/>
        <v>59222</v>
      </c>
      <c r="I12" s="92">
        <f t="shared" si="1"/>
        <v>30</v>
      </c>
      <c r="J12" s="92">
        <f t="shared" si="1"/>
        <v>23735</v>
      </c>
      <c r="L12" s="93"/>
    </row>
    <row r="13" spans="1:12" s="102" customFormat="1" x14ac:dyDescent="0.25">
      <c r="A13" s="99">
        <v>1</v>
      </c>
      <c r="B13" s="58" t="s">
        <v>20</v>
      </c>
      <c r="C13" s="59" t="s">
        <v>21</v>
      </c>
      <c r="D13" s="100">
        <v>0.85</v>
      </c>
      <c r="E13" s="97">
        <f>F13+G13+H13+I13+J13</f>
        <v>44257</v>
      </c>
      <c r="F13" s="101">
        <v>44204</v>
      </c>
      <c r="G13" s="101">
        <v>53</v>
      </c>
      <c r="H13" s="97"/>
      <c r="I13" s="97"/>
      <c r="J13" s="97"/>
      <c r="K13" s="93"/>
      <c r="L13" s="93"/>
    </row>
    <row r="14" spans="1:12" s="102" customFormat="1" x14ac:dyDescent="0.25">
      <c r="A14" s="99">
        <v>2</v>
      </c>
      <c r="B14" s="58" t="s">
        <v>26</v>
      </c>
      <c r="C14" s="59" t="s">
        <v>27</v>
      </c>
      <c r="D14" s="100">
        <v>0.85</v>
      </c>
      <c r="E14" s="97">
        <f t="shared" ref="E14:E22" si="2">F14+G14+H14+I14+J14</f>
        <v>92736</v>
      </c>
      <c r="F14" s="101">
        <v>92327</v>
      </c>
      <c r="G14" s="101">
        <v>74</v>
      </c>
      <c r="H14" s="101">
        <v>333</v>
      </c>
      <c r="I14" s="101">
        <v>2</v>
      </c>
      <c r="J14" s="97"/>
      <c r="K14" s="93"/>
      <c r="L14" s="93"/>
    </row>
    <row r="15" spans="1:12" s="102" customFormat="1" x14ac:dyDescent="0.25">
      <c r="A15" s="99">
        <v>3</v>
      </c>
      <c r="B15" s="58" t="s">
        <v>50</v>
      </c>
      <c r="C15" s="59" t="s">
        <v>51</v>
      </c>
      <c r="D15" s="100">
        <v>0.85</v>
      </c>
      <c r="E15" s="97">
        <f t="shared" si="2"/>
        <v>64128</v>
      </c>
      <c r="F15" s="101">
        <v>64098</v>
      </c>
      <c r="G15" s="101">
        <v>30</v>
      </c>
      <c r="H15" s="97"/>
      <c r="I15" s="97"/>
      <c r="J15" s="97"/>
      <c r="K15" s="93"/>
      <c r="L15" s="93"/>
    </row>
    <row r="16" spans="1:12" s="102" customFormat="1" x14ac:dyDescent="0.25">
      <c r="A16" s="99">
        <v>4</v>
      </c>
      <c r="B16" s="53" t="s">
        <v>58</v>
      </c>
      <c r="C16" s="54" t="s">
        <v>59</v>
      </c>
      <c r="D16" s="100">
        <v>0.85</v>
      </c>
      <c r="E16" s="97">
        <f t="shared" si="2"/>
        <v>43648</v>
      </c>
      <c r="F16" s="97">
        <v>43626</v>
      </c>
      <c r="G16" s="97">
        <v>22</v>
      </c>
      <c r="H16" s="97"/>
      <c r="I16" s="97"/>
      <c r="J16" s="97"/>
      <c r="K16" s="93"/>
      <c r="L16" s="93"/>
    </row>
    <row r="17" spans="1:12" s="102" customFormat="1" x14ac:dyDescent="0.25">
      <c r="A17" s="99">
        <v>5</v>
      </c>
      <c r="B17" s="58" t="s">
        <v>60</v>
      </c>
      <c r="C17" s="59" t="s">
        <v>61</v>
      </c>
      <c r="D17" s="100">
        <v>0.85</v>
      </c>
      <c r="E17" s="97">
        <f t="shared" si="2"/>
        <v>3838</v>
      </c>
      <c r="F17" s="101">
        <v>1387</v>
      </c>
      <c r="G17" s="101">
        <v>5</v>
      </c>
      <c r="H17" s="101">
        <v>2444</v>
      </c>
      <c r="I17" s="101">
        <v>2</v>
      </c>
      <c r="J17" s="97"/>
      <c r="K17" s="93"/>
      <c r="L17" s="93"/>
    </row>
    <row r="18" spans="1:12" s="102" customFormat="1" ht="24" x14ac:dyDescent="0.25">
      <c r="A18" s="99">
        <v>6</v>
      </c>
      <c r="B18" s="53" t="s">
        <v>74</v>
      </c>
      <c r="C18" s="54" t="s">
        <v>377</v>
      </c>
      <c r="D18" s="100">
        <v>0.85</v>
      </c>
      <c r="E18" s="97">
        <f t="shared" si="2"/>
        <v>186881</v>
      </c>
      <c r="F18" s="101">
        <v>177041</v>
      </c>
      <c r="G18" s="101">
        <v>66</v>
      </c>
      <c r="H18" s="101">
        <v>9765</v>
      </c>
      <c r="I18" s="101">
        <v>9</v>
      </c>
      <c r="J18" s="97"/>
      <c r="K18" s="93"/>
      <c r="L18" s="93"/>
    </row>
    <row r="19" spans="1:12" s="102" customFormat="1" x14ac:dyDescent="0.25">
      <c r="A19" s="99">
        <v>7</v>
      </c>
      <c r="B19" s="57" t="s">
        <v>77</v>
      </c>
      <c r="C19" s="54" t="s">
        <v>78</v>
      </c>
      <c r="D19" s="100">
        <v>0.85</v>
      </c>
      <c r="E19" s="97">
        <f t="shared" si="2"/>
        <v>65130</v>
      </c>
      <c r="F19" s="101">
        <v>65065</v>
      </c>
      <c r="G19" s="101">
        <v>65</v>
      </c>
      <c r="H19" s="97"/>
      <c r="I19" s="97"/>
      <c r="J19" s="97"/>
      <c r="K19" s="93"/>
      <c r="L19" s="93"/>
    </row>
    <row r="20" spans="1:12" s="102" customFormat="1" x14ac:dyDescent="0.25">
      <c r="A20" s="99">
        <v>8</v>
      </c>
      <c r="B20" s="58" t="s">
        <v>99</v>
      </c>
      <c r="C20" s="59" t="s">
        <v>100</v>
      </c>
      <c r="D20" s="100">
        <v>0.85</v>
      </c>
      <c r="E20" s="97">
        <f t="shared" si="2"/>
        <v>112073</v>
      </c>
      <c r="F20" s="101">
        <v>111198</v>
      </c>
      <c r="G20" s="101">
        <v>99</v>
      </c>
      <c r="H20" s="101">
        <v>776</v>
      </c>
      <c r="I20" s="97"/>
      <c r="J20" s="97"/>
      <c r="K20" s="93"/>
      <c r="L20" s="93"/>
    </row>
    <row r="21" spans="1:12" s="102" customFormat="1" x14ac:dyDescent="0.25">
      <c r="A21" s="99">
        <v>9</v>
      </c>
      <c r="B21" s="57" t="s">
        <v>177</v>
      </c>
      <c r="C21" s="69" t="s">
        <v>447</v>
      </c>
      <c r="D21" s="100">
        <v>0.9</v>
      </c>
      <c r="E21" s="97">
        <f t="shared" si="2"/>
        <v>476430</v>
      </c>
      <c r="F21" s="97">
        <v>406698</v>
      </c>
      <c r="G21" s="97">
        <v>76</v>
      </c>
      <c r="H21" s="97">
        <v>45904</v>
      </c>
      <c r="I21" s="97">
        <v>17</v>
      </c>
      <c r="J21" s="97">
        <v>23735</v>
      </c>
      <c r="K21" s="93"/>
      <c r="L21" s="93"/>
    </row>
    <row r="22" spans="1:12" s="102" customFormat="1" x14ac:dyDescent="0.25">
      <c r="A22" s="99">
        <v>10</v>
      </c>
      <c r="B22" s="57" t="s">
        <v>207</v>
      </c>
      <c r="C22" s="54" t="s">
        <v>208</v>
      </c>
      <c r="D22" s="100">
        <v>0.91</v>
      </c>
      <c r="E22" s="97">
        <f t="shared" si="2"/>
        <v>29953</v>
      </c>
      <c r="F22" s="101">
        <v>29939</v>
      </c>
      <c r="G22" s="101">
        <v>14</v>
      </c>
      <c r="H22" s="97"/>
      <c r="I22" s="97"/>
      <c r="J22" s="97"/>
      <c r="K22" s="93"/>
      <c r="L22" s="93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98"/>
  <sheetViews>
    <sheetView workbookViewId="0">
      <selection activeCell="I69" sqref="I69"/>
    </sheetView>
  </sheetViews>
  <sheetFormatPr defaultRowHeight="18.75" x14ac:dyDescent="0.3"/>
  <cols>
    <col min="1" max="1" width="4.85546875" style="105" customWidth="1"/>
    <col min="2" max="2" width="7.85546875" style="105" customWidth="1"/>
    <col min="3" max="3" width="35.42578125" style="105" customWidth="1"/>
    <col min="4" max="6" width="10.28515625" style="105" customWidth="1"/>
    <col min="7" max="16384" width="9.140625" style="105"/>
  </cols>
  <sheetData>
    <row r="1" spans="1:6" ht="11.25" customHeight="1" x14ac:dyDescent="0.3"/>
    <row r="2" spans="1:6" ht="31.5" customHeight="1" x14ac:dyDescent="0.3">
      <c r="A2" s="1147" t="s">
        <v>448</v>
      </c>
      <c r="B2" s="1147"/>
      <c r="C2" s="1147"/>
      <c r="D2" s="1147"/>
      <c r="E2" s="1147"/>
      <c r="F2" s="1147"/>
    </row>
    <row r="3" spans="1:6" ht="13.5" customHeight="1" x14ac:dyDescent="0.3">
      <c r="A3" s="106"/>
      <c r="B3" s="106"/>
      <c r="C3" s="106"/>
      <c r="D3" s="106"/>
      <c r="E3" s="106"/>
      <c r="F3" s="106"/>
    </row>
    <row r="4" spans="1:6" ht="33.75" customHeight="1" x14ac:dyDescent="0.3">
      <c r="A4" s="1145" t="s">
        <v>0</v>
      </c>
      <c r="B4" s="1145" t="s">
        <v>302</v>
      </c>
      <c r="C4" s="1148" t="s">
        <v>449</v>
      </c>
      <c r="D4" s="1145" t="s">
        <v>450</v>
      </c>
      <c r="E4" s="1145" t="s">
        <v>451</v>
      </c>
      <c r="F4" s="1145"/>
    </row>
    <row r="5" spans="1:6" ht="45" x14ac:dyDescent="0.3">
      <c r="A5" s="1145"/>
      <c r="B5" s="1145"/>
      <c r="C5" s="1148"/>
      <c r="D5" s="1145"/>
      <c r="E5" s="107" t="s">
        <v>452</v>
      </c>
      <c r="F5" s="107" t="s">
        <v>453</v>
      </c>
    </row>
    <row r="6" spans="1:6" ht="15" customHeight="1" x14ac:dyDescent="0.3">
      <c r="A6" s="108">
        <v>1</v>
      </c>
      <c r="B6" s="108">
        <v>2</v>
      </c>
      <c r="C6" s="108">
        <v>3</v>
      </c>
      <c r="D6" s="109">
        <v>4</v>
      </c>
      <c r="E6" s="109">
        <v>5</v>
      </c>
      <c r="F6" s="109">
        <v>6</v>
      </c>
    </row>
    <row r="7" spans="1:6" x14ac:dyDescent="0.3">
      <c r="A7" s="107">
        <v>1</v>
      </c>
      <c r="B7" s="110" t="s">
        <v>46</v>
      </c>
      <c r="C7" s="111" t="s">
        <v>47</v>
      </c>
      <c r="D7" s="112">
        <v>22037</v>
      </c>
      <c r="E7" s="113">
        <v>0</v>
      </c>
      <c r="F7" s="113">
        <v>0</v>
      </c>
    </row>
    <row r="8" spans="1:6" x14ac:dyDescent="0.3">
      <c r="A8" s="107">
        <v>2</v>
      </c>
      <c r="B8" s="110" t="s">
        <v>115</v>
      </c>
      <c r="C8" s="111" t="s">
        <v>116</v>
      </c>
      <c r="D8" s="112">
        <v>19478</v>
      </c>
      <c r="E8" s="113">
        <v>0</v>
      </c>
      <c r="F8" s="113">
        <v>0</v>
      </c>
    </row>
    <row r="9" spans="1:6" x14ac:dyDescent="0.3">
      <c r="A9" s="107">
        <v>3</v>
      </c>
      <c r="B9" s="110" t="s">
        <v>187</v>
      </c>
      <c r="C9" s="111" t="s">
        <v>188</v>
      </c>
      <c r="D9" s="112">
        <v>9109</v>
      </c>
      <c r="E9" s="113">
        <v>0</v>
      </c>
      <c r="F9" s="113">
        <v>0</v>
      </c>
    </row>
    <row r="10" spans="1:6" x14ac:dyDescent="0.3">
      <c r="A10" s="107">
        <v>4</v>
      </c>
      <c r="B10" s="110" t="s">
        <v>16</v>
      </c>
      <c r="C10" s="111" t="s">
        <v>17</v>
      </c>
      <c r="D10" s="112">
        <v>9831</v>
      </c>
      <c r="E10" s="113">
        <v>0</v>
      </c>
      <c r="F10" s="113">
        <v>0</v>
      </c>
    </row>
    <row r="11" spans="1:6" x14ac:dyDescent="0.3">
      <c r="A11" s="107">
        <v>5</v>
      </c>
      <c r="B11" s="110" t="s">
        <v>93</v>
      </c>
      <c r="C11" s="111" t="s">
        <v>94</v>
      </c>
      <c r="D11" s="112">
        <v>16423</v>
      </c>
      <c r="E11" s="113">
        <v>0</v>
      </c>
      <c r="F11" s="113">
        <v>0</v>
      </c>
    </row>
    <row r="12" spans="1:6" x14ac:dyDescent="0.3">
      <c r="A12" s="107">
        <v>6</v>
      </c>
      <c r="B12" s="110" t="s">
        <v>48</v>
      </c>
      <c r="C12" s="111" t="s">
        <v>49</v>
      </c>
      <c r="D12" s="112">
        <v>28713</v>
      </c>
      <c r="E12" s="113">
        <v>0</v>
      </c>
      <c r="F12" s="113">
        <v>0</v>
      </c>
    </row>
    <row r="13" spans="1:6" x14ac:dyDescent="0.3">
      <c r="A13" s="107">
        <v>7</v>
      </c>
      <c r="B13" s="110" t="s">
        <v>101</v>
      </c>
      <c r="C13" s="111" t="s">
        <v>102</v>
      </c>
      <c r="D13" s="112">
        <v>13698</v>
      </c>
      <c r="E13" s="113">
        <v>0</v>
      </c>
      <c r="F13" s="113">
        <v>0</v>
      </c>
    </row>
    <row r="14" spans="1:6" x14ac:dyDescent="0.3">
      <c r="A14" s="107">
        <v>8</v>
      </c>
      <c r="B14" s="110" t="s">
        <v>18</v>
      </c>
      <c r="C14" s="111" t="s">
        <v>19</v>
      </c>
      <c r="D14" s="112">
        <v>9907</v>
      </c>
      <c r="E14" s="113">
        <v>0</v>
      </c>
      <c r="F14" s="113">
        <v>0</v>
      </c>
    </row>
    <row r="15" spans="1:6" x14ac:dyDescent="0.3">
      <c r="A15" s="107">
        <v>9</v>
      </c>
      <c r="B15" s="110" t="s">
        <v>103</v>
      </c>
      <c r="C15" s="111" t="s">
        <v>104</v>
      </c>
      <c r="D15" s="112">
        <v>46056</v>
      </c>
      <c r="E15" s="113">
        <v>0</v>
      </c>
      <c r="F15" s="113">
        <v>0</v>
      </c>
    </row>
    <row r="16" spans="1:6" x14ac:dyDescent="0.3">
      <c r="A16" s="107">
        <v>10</v>
      </c>
      <c r="B16" s="110" t="s">
        <v>189</v>
      </c>
      <c r="C16" s="111" t="s">
        <v>190</v>
      </c>
      <c r="D16" s="112">
        <v>9265</v>
      </c>
      <c r="E16" s="113">
        <v>0</v>
      </c>
      <c r="F16" s="113">
        <v>0</v>
      </c>
    </row>
    <row r="17" spans="1:6" x14ac:dyDescent="0.3">
      <c r="A17" s="107">
        <v>11</v>
      </c>
      <c r="B17" s="110" t="s">
        <v>50</v>
      </c>
      <c r="C17" s="111" t="s">
        <v>51</v>
      </c>
      <c r="D17" s="112">
        <v>52768</v>
      </c>
      <c r="E17" s="113">
        <v>0</v>
      </c>
      <c r="F17" s="113">
        <v>0</v>
      </c>
    </row>
    <row r="18" spans="1:6" x14ac:dyDescent="0.3">
      <c r="A18" s="107">
        <v>12</v>
      </c>
      <c r="B18" s="110" t="s">
        <v>105</v>
      </c>
      <c r="C18" s="111" t="s">
        <v>106</v>
      </c>
      <c r="D18" s="112">
        <v>10243</v>
      </c>
      <c r="E18" s="113">
        <v>0</v>
      </c>
      <c r="F18" s="113">
        <v>0</v>
      </c>
    </row>
    <row r="19" spans="1:6" x14ac:dyDescent="0.3">
      <c r="A19" s="107">
        <v>13</v>
      </c>
      <c r="B19" s="110" t="s">
        <v>20</v>
      </c>
      <c r="C19" s="111" t="s">
        <v>21</v>
      </c>
      <c r="D19" s="112">
        <v>30350</v>
      </c>
      <c r="E19" s="113">
        <v>0</v>
      </c>
      <c r="F19" s="113">
        <v>0</v>
      </c>
    </row>
    <row r="20" spans="1:6" x14ac:dyDescent="0.3">
      <c r="A20" s="107">
        <v>14</v>
      </c>
      <c r="B20" s="110" t="s">
        <v>215</v>
      </c>
      <c r="C20" s="111" t="s">
        <v>216</v>
      </c>
      <c r="D20" s="112">
        <v>11283</v>
      </c>
      <c r="E20" s="113">
        <v>0</v>
      </c>
      <c r="F20" s="113">
        <v>0</v>
      </c>
    </row>
    <row r="21" spans="1:6" x14ac:dyDescent="0.3">
      <c r="A21" s="107">
        <v>15</v>
      </c>
      <c r="B21" s="110" t="s">
        <v>191</v>
      </c>
      <c r="C21" s="111" t="s">
        <v>192</v>
      </c>
      <c r="D21" s="112">
        <v>26008</v>
      </c>
      <c r="E21" s="113">
        <v>0</v>
      </c>
      <c r="F21" s="113">
        <v>0</v>
      </c>
    </row>
    <row r="22" spans="1:6" x14ac:dyDescent="0.3">
      <c r="A22" s="107">
        <v>16</v>
      </c>
      <c r="B22" s="110" t="s">
        <v>195</v>
      </c>
      <c r="C22" s="111" t="s">
        <v>196</v>
      </c>
      <c r="D22" s="112">
        <v>13546</v>
      </c>
      <c r="E22" s="113">
        <v>0</v>
      </c>
      <c r="F22" s="113">
        <v>0</v>
      </c>
    </row>
    <row r="23" spans="1:6" x14ac:dyDescent="0.3">
      <c r="A23" s="107">
        <v>17</v>
      </c>
      <c r="B23" s="110" t="s">
        <v>22</v>
      </c>
      <c r="C23" s="111" t="s">
        <v>23</v>
      </c>
      <c r="D23" s="112">
        <v>10766</v>
      </c>
      <c r="E23" s="113">
        <v>0</v>
      </c>
      <c r="F23" s="113">
        <v>0</v>
      </c>
    </row>
    <row r="24" spans="1:6" x14ac:dyDescent="0.3">
      <c r="A24" s="107">
        <v>18</v>
      </c>
      <c r="B24" s="110" t="s">
        <v>52</v>
      </c>
      <c r="C24" s="111" t="s">
        <v>53</v>
      </c>
      <c r="D24" s="112">
        <v>9154</v>
      </c>
      <c r="E24" s="113">
        <v>0</v>
      </c>
      <c r="F24" s="113">
        <v>0</v>
      </c>
    </row>
    <row r="25" spans="1:6" x14ac:dyDescent="0.3">
      <c r="A25" s="107">
        <v>19</v>
      </c>
      <c r="B25" s="110" t="s">
        <v>85</v>
      </c>
      <c r="C25" s="111" t="s">
        <v>86</v>
      </c>
      <c r="D25" s="112">
        <v>16609</v>
      </c>
      <c r="E25" s="113">
        <v>0</v>
      </c>
      <c r="F25" s="113">
        <v>0</v>
      </c>
    </row>
    <row r="26" spans="1:6" x14ac:dyDescent="0.3">
      <c r="A26" s="107">
        <v>20</v>
      </c>
      <c r="B26" s="110" t="s">
        <v>109</v>
      </c>
      <c r="C26" s="111" t="s">
        <v>110</v>
      </c>
      <c r="D26" s="112">
        <v>19322</v>
      </c>
      <c r="E26" s="113">
        <v>0</v>
      </c>
      <c r="F26" s="113">
        <v>0</v>
      </c>
    </row>
    <row r="27" spans="1:6" x14ac:dyDescent="0.3">
      <c r="A27" s="107">
        <v>21</v>
      </c>
      <c r="B27" s="110" t="s">
        <v>207</v>
      </c>
      <c r="C27" s="111" t="s">
        <v>208</v>
      </c>
      <c r="D27" s="112">
        <v>14945</v>
      </c>
      <c r="E27" s="113">
        <v>0</v>
      </c>
      <c r="F27" s="113">
        <v>0</v>
      </c>
    </row>
    <row r="28" spans="1:6" x14ac:dyDescent="0.3">
      <c r="A28" s="107">
        <v>22</v>
      </c>
      <c r="B28" s="110" t="s">
        <v>28</v>
      </c>
      <c r="C28" s="111" t="s">
        <v>29</v>
      </c>
      <c r="D28" s="112">
        <v>30229</v>
      </c>
      <c r="E28" s="113">
        <v>0</v>
      </c>
      <c r="F28" s="113">
        <v>0</v>
      </c>
    </row>
    <row r="29" spans="1:6" x14ac:dyDescent="0.3">
      <c r="A29" s="107">
        <v>23</v>
      </c>
      <c r="B29" s="110" t="s">
        <v>111</v>
      </c>
      <c r="C29" s="111" t="s">
        <v>112</v>
      </c>
      <c r="D29" s="112">
        <v>6500</v>
      </c>
      <c r="E29" s="113">
        <v>0</v>
      </c>
      <c r="F29" s="113">
        <v>0</v>
      </c>
    </row>
    <row r="30" spans="1:6" x14ac:dyDescent="0.3">
      <c r="A30" s="107">
        <v>24</v>
      </c>
      <c r="B30" s="110" t="s">
        <v>81</v>
      </c>
      <c r="C30" s="111" t="s">
        <v>82</v>
      </c>
      <c r="D30" s="112">
        <v>12761</v>
      </c>
      <c r="E30" s="113">
        <v>0</v>
      </c>
      <c r="F30" s="113">
        <v>0</v>
      </c>
    </row>
    <row r="31" spans="1:6" x14ac:dyDescent="0.3">
      <c r="A31" s="107">
        <v>25</v>
      </c>
      <c r="B31" s="110" t="s">
        <v>54</v>
      </c>
      <c r="C31" s="111" t="s">
        <v>55</v>
      </c>
      <c r="D31" s="112">
        <v>7064</v>
      </c>
      <c r="E31" s="113">
        <v>0</v>
      </c>
      <c r="F31" s="113">
        <v>0</v>
      </c>
    </row>
    <row r="32" spans="1:6" x14ac:dyDescent="0.3">
      <c r="A32" s="107">
        <v>26</v>
      </c>
      <c r="B32" s="110" t="s">
        <v>197</v>
      </c>
      <c r="C32" s="111" t="s">
        <v>198</v>
      </c>
      <c r="D32" s="112">
        <v>30914</v>
      </c>
      <c r="E32" s="113">
        <v>0</v>
      </c>
      <c r="F32" s="113">
        <v>0</v>
      </c>
    </row>
    <row r="33" spans="1:6" x14ac:dyDescent="0.3">
      <c r="A33" s="107">
        <v>27</v>
      </c>
      <c r="B33" s="110" t="s">
        <v>107</v>
      </c>
      <c r="C33" s="111" t="s">
        <v>108</v>
      </c>
      <c r="D33" s="112">
        <v>16031</v>
      </c>
      <c r="E33" s="113">
        <v>0</v>
      </c>
      <c r="F33" s="113">
        <v>0</v>
      </c>
    </row>
    <row r="34" spans="1:6" x14ac:dyDescent="0.3">
      <c r="A34" s="107">
        <v>28</v>
      </c>
      <c r="B34" s="110" t="s">
        <v>83</v>
      </c>
      <c r="C34" s="111" t="s">
        <v>84</v>
      </c>
      <c r="D34" s="112">
        <v>43208</v>
      </c>
      <c r="E34" s="113">
        <v>0</v>
      </c>
      <c r="F34" s="113">
        <v>0</v>
      </c>
    </row>
    <row r="35" spans="1:6" x14ac:dyDescent="0.3">
      <c r="A35" s="107">
        <v>29</v>
      </c>
      <c r="B35" s="110" t="s">
        <v>30</v>
      </c>
      <c r="C35" s="111" t="s">
        <v>31</v>
      </c>
      <c r="D35" s="112">
        <v>12547</v>
      </c>
      <c r="E35" s="113">
        <v>0</v>
      </c>
      <c r="F35" s="113">
        <v>0</v>
      </c>
    </row>
    <row r="36" spans="1:6" x14ac:dyDescent="0.3">
      <c r="A36" s="107">
        <v>30</v>
      </c>
      <c r="B36" s="110" t="s">
        <v>32</v>
      </c>
      <c r="C36" s="111" t="s">
        <v>33</v>
      </c>
      <c r="D36" s="112">
        <v>10923</v>
      </c>
      <c r="E36" s="113">
        <v>0</v>
      </c>
      <c r="F36" s="113">
        <v>0</v>
      </c>
    </row>
    <row r="37" spans="1:6" x14ac:dyDescent="0.3">
      <c r="A37" s="107">
        <v>31</v>
      </c>
      <c r="B37" s="110" t="s">
        <v>199</v>
      </c>
      <c r="C37" s="111" t="s">
        <v>200</v>
      </c>
      <c r="D37" s="112">
        <v>24373</v>
      </c>
      <c r="E37" s="113">
        <v>0</v>
      </c>
      <c r="F37" s="113">
        <v>0</v>
      </c>
    </row>
    <row r="38" spans="1:6" x14ac:dyDescent="0.3">
      <c r="A38" s="107">
        <v>32</v>
      </c>
      <c r="B38" s="110" t="s">
        <v>201</v>
      </c>
      <c r="C38" s="111" t="s">
        <v>202</v>
      </c>
      <c r="D38" s="112">
        <v>8452</v>
      </c>
      <c r="E38" s="113">
        <v>0</v>
      </c>
      <c r="F38" s="113">
        <v>0</v>
      </c>
    </row>
    <row r="39" spans="1:6" x14ac:dyDescent="0.3">
      <c r="A39" s="107">
        <v>33</v>
      </c>
      <c r="B39" s="110" t="s">
        <v>34</v>
      </c>
      <c r="C39" s="111" t="s">
        <v>35</v>
      </c>
      <c r="D39" s="112">
        <v>14009</v>
      </c>
      <c r="E39" s="113">
        <v>0</v>
      </c>
      <c r="F39" s="113">
        <v>0</v>
      </c>
    </row>
    <row r="40" spans="1:6" x14ac:dyDescent="0.3">
      <c r="A40" s="107">
        <v>34</v>
      </c>
      <c r="B40" s="110" t="s">
        <v>89</v>
      </c>
      <c r="C40" s="111" t="s">
        <v>90</v>
      </c>
      <c r="D40" s="112">
        <v>15083</v>
      </c>
      <c r="E40" s="113">
        <v>0</v>
      </c>
      <c r="F40" s="113">
        <v>0</v>
      </c>
    </row>
    <row r="41" spans="1:6" x14ac:dyDescent="0.3">
      <c r="A41" s="107">
        <v>35</v>
      </c>
      <c r="B41" s="110" t="s">
        <v>203</v>
      </c>
      <c r="C41" s="111" t="s">
        <v>204</v>
      </c>
      <c r="D41" s="112">
        <v>13021</v>
      </c>
      <c r="E41" s="113">
        <v>0</v>
      </c>
      <c r="F41" s="113">
        <v>0</v>
      </c>
    </row>
    <row r="42" spans="1:6" x14ac:dyDescent="0.3">
      <c r="A42" s="107">
        <v>36</v>
      </c>
      <c r="B42" s="110" t="s">
        <v>77</v>
      </c>
      <c r="C42" s="111" t="s">
        <v>78</v>
      </c>
      <c r="D42" s="112">
        <v>43831</v>
      </c>
      <c r="E42" s="113">
        <v>0</v>
      </c>
      <c r="F42" s="113">
        <v>0</v>
      </c>
    </row>
    <row r="43" spans="1:6" x14ac:dyDescent="0.3">
      <c r="A43" s="107">
        <v>37</v>
      </c>
      <c r="B43" s="110" t="s">
        <v>87</v>
      </c>
      <c r="C43" s="111" t="s">
        <v>88</v>
      </c>
      <c r="D43" s="112">
        <v>43485</v>
      </c>
      <c r="E43" s="113">
        <v>0</v>
      </c>
      <c r="F43" s="113">
        <v>0</v>
      </c>
    </row>
    <row r="44" spans="1:6" x14ac:dyDescent="0.3">
      <c r="A44" s="107">
        <v>38</v>
      </c>
      <c r="B44" s="110" t="s">
        <v>193</v>
      </c>
      <c r="C44" s="111" t="s">
        <v>194</v>
      </c>
      <c r="D44" s="112">
        <v>10964</v>
      </c>
      <c r="E44" s="113">
        <v>0</v>
      </c>
      <c r="F44" s="113">
        <v>0</v>
      </c>
    </row>
    <row r="45" spans="1:6" x14ac:dyDescent="0.3">
      <c r="A45" s="107">
        <v>39</v>
      </c>
      <c r="B45" s="110" t="s">
        <v>36</v>
      </c>
      <c r="C45" s="111" t="s">
        <v>37</v>
      </c>
      <c r="D45" s="112">
        <v>11439</v>
      </c>
      <c r="E45" s="113">
        <v>0</v>
      </c>
      <c r="F45" s="113">
        <v>0</v>
      </c>
    </row>
    <row r="46" spans="1:6" x14ac:dyDescent="0.3">
      <c r="A46" s="107">
        <v>40</v>
      </c>
      <c r="B46" s="110" t="s">
        <v>113</v>
      </c>
      <c r="C46" s="111" t="s">
        <v>114</v>
      </c>
      <c r="D46" s="112">
        <v>12943</v>
      </c>
      <c r="E46" s="113">
        <v>0</v>
      </c>
      <c r="F46" s="113">
        <v>0</v>
      </c>
    </row>
    <row r="47" spans="1:6" x14ac:dyDescent="0.3">
      <c r="A47" s="107">
        <v>41</v>
      </c>
      <c r="B47" s="110" t="s">
        <v>209</v>
      </c>
      <c r="C47" s="111" t="s">
        <v>210</v>
      </c>
      <c r="D47" s="112">
        <v>9849</v>
      </c>
      <c r="E47" s="113">
        <v>0</v>
      </c>
      <c r="F47" s="113">
        <v>0</v>
      </c>
    </row>
    <row r="48" spans="1:6" x14ac:dyDescent="0.3">
      <c r="A48" s="107">
        <v>42</v>
      </c>
      <c r="B48" s="110" t="s">
        <v>205</v>
      </c>
      <c r="C48" s="111" t="s">
        <v>206</v>
      </c>
      <c r="D48" s="112">
        <v>12697</v>
      </c>
      <c r="E48" s="113">
        <v>0</v>
      </c>
      <c r="F48" s="113">
        <v>0</v>
      </c>
    </row>
    <row r="49" spans="1:6" x14ac:dyDescent="0.3">
      <c r="A49" s="107">
        <v>43</v>
      </c>
      <c r="B49" s="110" t="s">
        <v>91</v>
      </c>
      <c r="C49" s="111" t="s">
        <v>92</v>
      </c>
      <c r="D49" s="112">
        <v>9285</v>
      </c>
      <c r="E49" s="113">
        <v>0</v>
      </c>
      <c r="F49" s="113">
        <v>0</v>
      </c>
    </row>
    <row r="50" spans="1:6" x14ac:dyDescent="0.3">
      <c r="A50" s="107">
        <v>44</v>
      </c>
      <c r="B50" s="110" t="s">
        <v>24</v>
      </c>
      <c r="C50" s="111" t="s">
        <v>25</v>
      </c>
      <c r="D50" s="112">
        <v>11710</v>
      </c>
      <c r="E50" s="113">
        <v>0</v>
      </c>
      <c r="F50" s="113">
        <v>0</v>
      </c>
    </row>
    <row r="51" spans="1:6" x14ac:dyDescent="0.3">
      <c r="A51" s="107">
        <v>45</v>
      </c>
      <c r="B51" s="110" t="s">
        <v>117</v>
      </c>
      <c r="C51" s="111" t="s">
        <v>118</v>
      </c>
      <c r="D51" s="112">
        <v>67932</v>
      </c>
      <c r="E51" s="113">
        <v>0</v>
      </c>
      <c r="F51" s="113">
        <v>0</v>
      </c>
    </row>
    <row r="52" spans="1:6" x14ac:dyDescent="0.3">
      <c r="A52" s="107">
        <v>46</v>
      </c>
      <c r="B52" s="110" t="s">
        <v>56</v>
      </c>
      <c r="C52" s="111" t="s">
        <v>57</v>
      </c>
      <c r="D52" s="112">
        <v>36623</v>
      </c>
      <c r="E52" s="113">
        <v>0</v>
      </c>
      <c r="F52" s="113">
        <v>0</v>
      </c>
    </row>
    <row r="53" spans="1:6" x14ac:dyDescent="0.3">
      <c r="A53" s="107">
        <v>47</v>
      </c>
      <c r="B53" s="110" t="s">
        <v>95</v>
      </c>
      <c r="C53" s="111" t="s">
        <v>96</v>
      </c>
      <c r="D53" s="112">
        <v>7507</v>
      </c>
      <c r="E53" s="113">
        <v>0</v>
      </c>
      <c r="F53" s="113">
        <v>0</v>
      </c>
    </row>
    <row r="54" spans="1:6" x14ac:dyDescent="0.3">
      <c r="A54" s="107">
        <v>48</v>
      </c>
      <c r="B54" s="110" t="s">
        <v>44</v>
      </c>
      <c r="C54" s="111" t="s">
        <v>45</v>
      </c>
      <c r="D54" s="112">
        <v>14845</v>
      </c>
      <c r="E54" s="113">
        <v>0</v>
      </c>
      <c r="F54" s="113">
        <v>0</v>
      </c>
    </row>
    <row r="55" spans="1:6" x14ac:dyDescent="0.3">
      <c r="A55" s="107">
        <v>49</v>
      </c>
      <c r="B55" s="110" t="s">
        <v>211</v>
      </c>
      <c r="C55" s="111" t="s">
        <v>212</v>
      </c>
      <c r="D55" s="112">
        <v>14165</v>
      </c>
      <c r="E55" s="113">
        <v>0</v>
      </c>
      <c r="F55" s="113">
        <v>0</v>
      </c>
    </row>
    <row r="56" spans="1:6" x14ac:dyDescent="0.3">
      <c r="A56" s="107">
        <v>50</v>
      </c>
      <c r="B56" s="110" t="s">
        <v>213</v>
      </c>
      <c r="C56" s="111" t="s">
        <v>214</v>
      </c>
      <c r="D56" s="112">
        <v>24801</v>
      </c>
      <c r="E56" s="113">
        <v>0</v>
      </c>
      <c r="F56" s="113">
        <v>0</v>
      </c>
    </row>
    <row r="57" spans="1:6" x14ac:dyDescent="0.3">
      <c r="A57" s="107">
        <v>51</v>
      </c>
      <c r="B57" s="110" t="s">
        <v>119</v>
      </c>
      <c r="C57" s="111" t="s">
        <v>120</v>
      </c>
      <c r="D57" s="112">
        <v>10682</v>
      </c>
      <c r="E57" s="113">
        <v>0</v>
      </c>
      <c r="F57" s="113">
        <v>0</v>
      </c>
    </row>
    <row r="58" spans="1:6" x14ac:dyDescent="0.3">
      <c r="A58" s="107">
        <v>52</v>
      </c>
      <c r="B58" s="110" t="s">
        <v>38</v>
      </c>
      <c r="C58" s="111" t="s">
        <v>39</v>
      </c>
      <c r="D58" s="112">
        <v>22452</v>
      </c>
      <c r="E58" s="113">
        <v>0</v>
      </c>
      <c r="F58" s="113">
        <v>0</v>
      </c>
    </row>
    <row r="59" spans="1:6" x14ac:dyDescent="0.3">
      <c r="A59" s="107">
        <v>53</v>
      </c>
      <c r="B59" s="110" t="s">
        <v>60</v>
      </c>
      <c r="C59" s="111" t="s">
        <v>61</v>
      </c>
      <c r="D59" s="112">
        <v>7147</v>
      </c>
      <c r="E59" s="113">
        <v>0</v>
      </c>
      <c r="F59" s="113">
        <v>0</v>
      </c>
    </row>
    <row r="60" spans="1:6" x14ac:dyDescent="0.3">
      <c r="A60" s="107">
        <v>54</v>
      </c>
      <c r="B60" s="110" t="s">
        <v>26</v>
      </c>
      <c r="C60" s="111" t="s">
        <v>27</v>
      </c>
      <c r="D60" s="112">
        <v>83428</v>
      </c>
      <c r="E60" s="113">
        <v>0</v>
      </c>
      <c r="F60" s="113">
        <v>0</v>
      </c>
    </row>
    <row r="61" spans="1:6" x14ac:dyDescent="0.3">
      <c r="A61" s="107">
        <v>55</v>
      </c>
      <c r="B61" s="110" t="s">
        <v>99</v>
      </c>
      <c r="C61" s="111" t="s">
        <v>100</v>
      </c>
      <c r="D61" s="112">
        <v>55624</v>
      </c>
      <c r="E61" s="113">
        <v>0</v>
      </c>
      <c r="F61" s="113">
        <v>0</v>
      </c>
    </row>
    <row r="62" spans="1:6" x14ac:dyDescent="0.3">
      <c r="A62" s="107">
        <v>56</v>
      </c>
      <c r="B62" s="110" t="s">
        <v>58</v>
      </c>
      <c r="C62" s="111" t="s">
        <v>59</v>
      </c>
      <c r="D62" s="112">
        <v>31451</v>
      </c>
      <c r="E62" s="113">
        <v>0</v>
      </c>
      <c r="F62" s="113">
        <v>0</v>
      </c>
    </row>
    <row r="63" spans="1:6" x14ac:dyDescent="0.3">
      <c r="A63" s="107">
        <v>57</v>
      </c>
      <c r="B63" s="110" t="s">
        <v>97</v>
      </c>
      <c r="C63" s="111" t="s">
        <v>454</v>
      </c>
      <c r="D63" s="112">
        <v>5870</v>
      </c>
      <c r="E63" s="113">
        <v>0</v>
      </c>
      <c r="F63" s="113">
        <v>0</v>
      </c>
    </row>
    <row r="64" spans="1:6" x14ac:dyDescent="0.3">
      <c r="A64" s="107">
        <v>58</v>
      </c>
      <c r="B64" s="110" t="s">
        <v>79</v>
      </c>
      <c r="C64" s="111" t="s">
        <v>80</v>
      </c>
      <c r="D64" s="112">
        <v>66236</v>
      </c>
      <c r="E64" s="113">
        <v>0</v>
      </c>
      <c r="F64" s="113">
        <v>0</v>
      </c>
    </row>
    <row r="65" spans="1:6" x14ac:dyDescent="0.3">
      <c r="A65" s="107">
        <v>59</v>
      </c>
      <c r="B65" s="110" t="s">
        <v>68</v>
      </c>
      <c r="C65" s="111" t="s">
        <v>455</v>
      </c>
      <c r="D65" s="1380">
        <f>51046-29777</f>
        <v>21269</v>
      </c>
      <c r="E65" s="113">
        <v>0</v>
      </c>
      <c r="F65" s="113">
        <v>0</v>
      </c>
    </row>
    <row r="66" spans="1:6" x14ac:dyDescent="0.3">
      <c r="A66" s="107">
        <v>60</v>
      </c>
      <c r="B66" s="110" t="s">
        <v>66</v>
      </c>
      <c r="C66" s="111" t="s">
        <v>67</v>
      </c>
      <c r="D66" s="1380">
        <f>67029+29777</f>
        <v>96806</v>
      </c>
      <c r="E66" s="113">
        <v>21556</v>
      </c>
      <c r="F66" s="113">
        <v>0</v>
      </c>
    </row>
    <row r="67" spans="1:6" x14ac:dyDescent="0.3">
      <c r="A67" s="107">
        <v>61</v>
      </c>
      <c r="B67" s="110" t="s">
        <v>70</v>
      </c>
      <c r="C67" s="111" t="s">
        <v>71</v>
      </c>
      <c r="D67" s="112">
        <v>28032</v>
      </c>
      <c r="E67" s="113">
        <v>14380</v>
      </c>
      <c r="F67" s="113">
        <v>0</v>
      </c>
    </row>
    <row r="68" spans="1:6" x14ac:dyDescent="0.3">
      <c r="A68" s="107">
        <v>62</v>
      </c>
      <c r="B68" s="110" t="s">
        <v>72</v>
      </c>
      <c r="C68" s="111" t="s">
        <v>73</v>
      </c>
      <c r="D68" s="112">
        <v>11000</v>
      </c>
      <c r="E68" s="113">
        <v>0</v>
      </c>
      <c r="F68" s="113">
        <v>0</v>
      </c>
    </row>
    <row r="69" spans="1:6" x14ac:dyDescent="0.3">
      <c r="A69" s="107">
        <v>63</v>
      </c>
      <c r="B69" s="110" t="s">
        <v>75</v>
      </c>
      <c r="C69" s="111" t="s">
        <v>456</v>
      </c>
      <c r="D69" s="112">
        <v>3441</v>
      </c>
      <c r="E69" s="113">
        <v>0</v>
      </c>
      <c r="F69" s="113">
        <v>0</v>
      </c>
    </row>
    <row r="70" spans="1:6" x14ac:dyDescent="0.3">
      <c r="A70" s="107">
        <v>64</v>
      </c>
      <c r="B70" s="110" t="s">
        <v>141</v>
      </c>
      <c r="C70" s="111" t="s">
        <v>457</v>
      </c>
      <c r="D70" s="112">
        <v>27110</v>
      </c>
      <c r="E70" s="113">
        <v>0</v>
      </c>
      <c r="F70" s="113">
        <v>0</v>
      </c>
    </row>
    <row r="71" spans="1:6" x14ac:dyDescent="0.3">
      <c r="A71" s="107">
        <v>65</v>
      </c>
      <c r="B71" s="110" t="s">
        <v>143</v>
      </c>
      <c r="C71" s="111" t="s">
        <v>144</v>
      </c>
      <c r="D71" s="112">
        <v>17023</v>
      </c>
      <c r="E71" s="113">
        <v>0</v>
      </c>
      <c r="F71" s="113">
        <v>0</v>
      </c>
    </row>
    <row r="72" spans="1:6" x14ac:dyDescent="0.3">
      <c r="A72" s="107">
        <v>66</v>
      </c>
      <c r="B72" s="110" t="s">
        <v>161</v>
      </c>
      <c r="C72" s="111" t="s">
        <v>162</v>
      </c>
      <c r="D72" s="112">
        <v>40658</v>
      </c>
      <c r="E72" s="113">
        <v>9113</v>
      </c>
      <c r="F72" s="113">
        <v>0</v>
      </c>
    </row>
    <row r="73" spans="1:6" x14ac:dyDescent="0.3">
      <c r="A73" s="107">
        <v>67</v>
      </c>
      <c r="B73" s="110" t="s">
        <v>145</v>
      </c>
      <c r="C73" s="111" t="s">
        <v>458</v>
      </c>
      <c r="D73" s="112">
        <v>37340</v>
      </c>
      <c r="E73" s="113">
        <v>0</v>
      </c>
      <c r="F73" s="113">
        <v>0</v>
      </c>
    </row>
    <row r="74" spans="1:6" x14ac:dyDescent="0.3">
      <c r="A74" s="107">
        <v>68</v>
      </c>
      <c r="B74" s="110" t="s">
        <v>167</v>
      </c>
      <c r="C74" s="111" t="s">
        <v>168</v>
      </c>
      <c r="D74" s="112">
        <v>8587</v>
      </c>
      <c r="E74" s="113">
        <v>0</v>
      </c>
      <c r="F74" s="113">
        <v>0</v>
      </c>
    </row>
    <row r="75" spans="1:6" x14ac:dyDescent="0.3">
      <c r="A75" s="107">
        <v>69</v>
      </c>
      <c r="B75" s="110" t="s">
        <v>165</v>
      </c>
      <c r="C75" s="111" t="s">
        <v>166</v>
      </c>
      <c r="D75" s="112">
        <v>68116</v>
      </c>
      <c r="E75" s="113">
        <v>24851</v>
      </c>
      <c r="F75" s="113">
        <v>13665</v>
      </c>
    </row>
    <row r="76" spans="1:6" x14ac:dyDescent="0.3">
      <c r="A76" s="107">
        <v>70</v>
      </c>
      <c r="B76" s="110" t="s">
        <v>169</v>
      </c>
      <c r="C76" s="111" t="s">
        <v>170</v>
      </c>
      <c r="D76" s="112">
        <v>47484</v>
      </c>
      <c r="E76" s="113">
        <v>0</v>
      </c>
      <c r="F76" s="113">
        <v>0</v>
      </c>
    </row>
    <row r="77" spans="1:6" x14ac:dyDescent="0.3">
      <c r="A77" s="107">
        <v>71</v>
      </c>
      <c r="B77" s="110" t="s">
        <v>173</v>
      </c>
      <c r="C77" s="111" t="s">
        <v>301</v>
      </c>
      <c r="D77" s="112">
        <v>38711</v>
      </c>
      <c r="E77" s="113">
        <v>0</v>
      </c>
      <c r="F77" s="113">
        <v>0</v>
      </c>
    </row>
    <row r="78" spans="1:6" x14ac:dyDescent="0.3">
      <c r="A78" s="107">
        <v>72</v>
      </c>
      <c r="B78" s="110" t="s">
        <v>163</v>
      </c>
      <c r="C78" s="111" t="s">
        <v>459</v>
      </c>
      <c r="D78" s="112">
        <v>71276</v>
      </c>
      <c r="E78" s="113">
        <v>20018</v>
      </c>
      <c r="F78" s="113">
        <v>0</v>
      </c>
    </row>
    <row r="79" spans="1:6" x14ac:dyDescent="0.3">
      <c r="A79" s="107">
        <v>73</v>
      </c>
      <c r="B79" s="110" t="s">
        <v>171</v>
      </c>
      <c r="C79" s="111" t="s">
        <v>172</v>
      </c>
      <c r="D79" s="112">
        <v>28322</v>
      </c>
      <c r="E79" s="113">
        <v>0</v>
      </c>
      <c r="F79" s="113">
        <v>0</v>
      </c>
    </row>
    <row r="80" spans="1:6" x14ac:dyDescent="0.3">
      <c r="A80" s="107">
        <v>74</v>
      </c>
      <c r="B80" s="110" t="s">
        <v>127</v>
      </c>
      <c r="C80" s="111" t="s">
        <v>128</v>
      </c>
      <c r="D80" s="112">
        <v>9655</v>
      </c>
      <c r="E80" s="113">
        <v>0</v>
      </c>
      <c r="F80" s="113">
        <v>0</v>
      </c>
    </row>
    <row r="81" spans="1:12" x14ac:dyDescent="0.3">
      <c r="A81" s="107">
        <v>75</v>
      </c>
      <c r="B81" s="110" t="s">
        <v>129</v>
      </c>
      <c r="C81" s="111" t="s">
        <v>460</v>
      </c>
      <c r="D81" s="112">
        <v>7667</v>
      </c>
      <c r="E81" s="113">
        <v>0</v>
      </c>
      <c r="F81" s="113">
        <v>0</v>
      </c>
    </row>
    <row r="82" spans="1:12" x14ac:dyDescent="0.3">
      <c r="A82" s="107">
        <v>76</v>
      </c>
      <c r="B82" s="110" t="s">
        <v>131</v>
      </c>
      <c r="C82" s="111" t="s">
        <v>461</v>
      </c>
      <c r="D82" s="112">
        <v>26783</v>
      </c>
      <c r="E82" s="113">
        <v>13883</v>
      </c>
      <c r="F82" s="113">
        <v>0</v>
      </c>
    </row>
    <row r="83" spans="1:12" x14ac:dyDescent="0.3">
      <c r="A83" s="107">
        <v>77</v>
      </c>
      <c r="B83" s="110" t="s">
        <v>133</v>
      </c>
      <c r="C83" s="111" t="s">
        <v>299</v>
      </c>
      <c r="D83" s="112">
        <v>31693</v>
      </c>
      <c r="E83" s="113">
        <v>17898</v>
      </c>
      <c r="F83" s="113">
        <v>0</v>
      </c>
    </row>
    <row r="84" spans="1:12" x14ac:dyDescent="0.3">
      <c r="A84" s="107">
        <v>78</v>
      </c>
      <c r="B84" s="110" t="s">
        <v>135</v>
      </c>
      <c r="C84" s="111" t="s">
        <v>462</v>
      </c>
      <c r="D84" s="112">
        <v>5738</v>
      </c>
      <c r="E84" s="113">
        <v>0</v>
      </c>
      <c r="F84" s="113">
        <v>0</v>
      </c>
    </row>
    <row r="85" spans="1:12" ht="22.5" x14ac:dyDescent="0.3">
      <c r="A85" s="107">
        <v>79</v>
      </c>
      <c r="B85" s="110" t="s">
        <v>139</v>
      </c>
      <c r="C85" s="111" t="s">
        <v>463</v>
      </c>
      <c r="D85" s="112">
        <v>9725</v>
      </c>
      <c r="E85" s="113">
        <v>0</v>
      </c>
      <c r="F85" s="113">
        <v>0</v>
      </c>
    </row>
    <row r="86" spans="1:12" ht="22.5" x14ac:dyDescent="0.3">
      <c r="A86" s="107">
        <v>80</v>
      </c>
      <c r="B86" s="110" t="s">
        <v>149</v>
      </c>
      <c r="C86" s="111" t="s">
        <v>464</v>
      </c>
      <c r="D86" s="112">
        <v>23001</v>
      </c>
      <c r="E86" s="113">
        <v>0</v>
      </c>
      <c r="F86" s="113">
        <v>0</v>
      </c>
    </row>
    <row r="87" spans="1:12" x14ac:dyDescent="0.3">
      <c r="A87" s="107">
        <v>81</v>
      </c>
      <c r="B87" s="110" t="s">
        <v>183</v>
      </c>
      <c r="C87" s="111" t="s">
        <v>465</v>
      </c>
      <c r="D87" s="112">
        <v>2787</v>
      </c>
      <c r="E87" s="113">
        <v>0</v>
      </c>
      <c r="F87" s="113">
        <v>0</v>
      </c>
    </row>
    <row r="88" spans="1:12" x14ac:dyDescent="0.3">
      <c r="A88" s="107">
        <v>82</v>
      </c>
      <c r="B88" s="110" t="s">
        <v>185</v>
      </c>
      <c r="C88" s="111" t="s">
        <v>466</v>
      </c>
      <c r="D88" s="112">
        <v>7628</v>
      </c>
      <c r="E88" s="113">
        <v>0</v>
      </c>
      <c r="F88" s="113">
        <v>0</v>
      </c>
    </row>
    <row r="89" spans="1:12" x14ac:dyDescent="0.3">
      <c r="A89" s="1145">
        <v>83</v>
      </c>
      <c r="B89" s="1146" t="s">
        <v>178</v>
      </c>
      <c r="C89" s="111" t="s">
        <v>467</v>
      </c>
      <c r="D89" s="112">
        <v>15883</v>
      </c>
      <c r="E89" s="113">
        <v>0</v>
      </c>
      <c r="F89" s="113">
        <v>12411</v>
      </c>
    </row>
    <row r="90" spans="1:12" ht="22.5" x14ac:dyDescent="0.3">
      <c r="A90" s="1145"/>
      <c r="B90" s="1146"/>
      <c r="C90" s="111" t="s">
        <v>468</v>
      </c>
      <c r="D90" s="112">
        <v>3472</v>
      </c>
      <c r="E90" s="113">
        <v>0</v>
      </c>
      <c r="F90" s="113">
        <v>0</v>
      </c>
    </row>
    <row r="91" spans="1:12" ht="33.75" x14ac:dyDescent="0.3">
      <c r="A91" s="1145"/>
      <c r="B91" s="1146"/>
      <c r="C91" s="111" t="s">
        <v>510</v>
      </c>
      <c r="D91" s="112">
        <v>12411</v>
      </c>
      <c r="E91" s="113">
        <v>0</v>
      </c>
      <c r="F91" s="113">
        <v>12411</v>
      </c>
    </row>
    <row r="92" spans="1:12" x14ac:dyDescent="0.3">
      <c r="A92" s="107">
        <v>84</v>
      </c>
      <c r="B92" s="110" t="s">
        <v>264</v>
      </c>
      <c r="C92" s="111" t="s">
        <v>265</v>
      </c>
      <c r="D92" s="112">
        <v>26889</v>
      </c>
      <c r="E92" s="113">
        <v>23013</v>
      </c>
      <c r="F92" s="113">
        <v>0</v>
      </c>
    </row>
    <row r="93" spans="1:12" x14ac:dyDescent="0.3">
      <c r="A93" s="107">
        <v>85</v>
      </c>
      <c r="B93" s="110" t="s">
        <v>278</v>
      </c>
      <c r="C93" s="111" t="s">
        <v>279</v>
      </c>
      <c r="D93" s="112">
        <v>77567</v>
      </c>
      <c r="E93" s="113">
        <v>24500</v>
      </c>
      <c r="F93" s="113">
        <v>0</v>
      </c>
      <c r="J93" s="538"/>
      <c r="K93" s="538"/>
      <c r="L93" s="538"/>
    </row>
    <row r="94" spans="1:12" x14ac:dyDescent="0.3">
      <c r="A94" s="107">
        <v>86</v>
      </c>
      <c r="B94" s="110" t="s">
        <v>276</v>
      </c>
      <c r="C94" s="111" t="s">
        <v>277</v>
      </c>
      <c r="D94" s="112">
        <v>51248</v>
      </c>
      <c r="E94" s="113">
        <v>0</v>
      </c>
      <c r="F94" s="113">
        <v>0</v>
      </c>
    </row>
    <row r="95" spans="1:12" x14ac:dyDescent="0.3">
      <c r="A95" s="107">
        <v>87</v>
      </c>
      <c r="B95" s="110" t="s">
        <v>280</v>
      </c>
      <c r="C95" s="111" t="s">
        <v>469</v>
      </c>
      <c r="D95" s="112">
        <v>4000</v>
      </c>
      <c r="E95" s="113">
        <v>0</v>
      </c>
      <c r="F95" s="113">
        <v>0</v>
      </c>
    </row>
    <row r="96" spans="1:12" x14ac:dyDescent="0.3">
      <c r="A96" s="107">
        <v>88</v>
      </c>
      <c r="B96" s="110" t="s">
        <v>262</v>
      </c>
      <c r="C96" s="111" t="s">
        <v>263</v>
      </c>
      <c r="D96" s="112">
        <v>500</v>
      </c>
      <c r="E96" s="113">
        <v>0</v>
      </c>
      <c r="F96" s="113">
        <v>0</v>
      </c>
    </row>
    <row r="97" spans="1:6" x14ac:dyDescent="0.3">
      <c r="A97" s="107"/>
      <c r="B97" s="107"/>
      <c r="C97" s="111" t="s">
        <v>14</v>
      </c>
      <c r="D97" s="112">
        <v>9204</v>
      </c>
      <c r="E97" s="113">
        <v>0</v>
      </c>
      <c r="F97" s="113">
        <v>0</v>
      </c>
    </row>
    <row r="98" spans="1:6" x14ac:dyDescent="0.3">
      <c r="A98" s="107"/>
      <c r="B98" s="107"/>
      <c r="C98" s="583" t="s">
        <v>470</v>
      </c>
      <c r="D98" s="584">
        <f>SUM(D7:D97)-D89</f>
        <v>2114735</v>
      </c>
      <c r="E98" s="584">
        <f>SUM(E7:E97)-E89</f>
        <v>169212</v>
      </c>
      <c r="F98" s="584">
        <f>SUM(F7:F97)-F89</f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K128"/>
  <sheetViews>
    <sheetView zoomScale="95" zoomScaleNormal="9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N30" sqref="N30"/>
    </sheetView>
  </sheetViews>
  <sheetFormatPr defaultRowHeight="15" x14ac:dyDescent="0.25"/>
  <cols>
    <col min="1" max="1" width="6" style="806" customWidth="1"/>
    <col min="2" max="2" width="8" style="806" customWidth="1"/>
    <col min="3" max="3" width="26.28515625" style="806" customWidth="1"/>
    <col min="4" max="6" width="9.140625" style="806"/>
    <col min="7" max="8" width="10.42578125" style="806" customWidth="1"/>
    <col min="9" max="9" width="9.140625" style="806"/>
    <col min="10" max="10" width="10" style="806" customWidth="1"/>
    <col min="11" max="11" width="10.7109375" style="806" customWidth="1"/>
    <col min="12" max="16384" width="9.140625" style="806"/>
  </cols>
  <sheetData>
    <row r="2" spans="1:11" ht="15.75" x14ac:dyDescent="0.25">
      <c r="A2" s="1381" t="s">
        <v>471</v>
      </c>
    </row>
    <row r="4" spans="1:11" x14ac:dyDescent="0.25">
      <c r="A4" s="1382" t="s">
        <v>0</v>
      </c>
      <c r="B4" s="1382" t="s">
        <v>302</v>
      </c>
      <c r="C4" s="1382" t="s">
        <v>472</v>
      </c>
      <c r="D4" s="1382" t="s">
        <v>473</v>
      </c>
      <c r="E4" s="1383" t="s">
        <v>293</v>
      </c>
      <c r="F4" s="1383"/>
      <c r="G4" s="1383"/>
      <c r="H4" s="1383"/>
      <c r="I4" s="1383"/>
      <c r="J4" s="1383"/>
      <c r="K4" s="1383"/>
    </row>
    <row r="5" spans="1:11" ht="63.75" customHeight="1" x14ac:dyDescent="0.25">
      <c r="A5" s="1382"/>
      <c r="B5" s="1382"/>
      <c r="C5" s="1382"/>
      <c r="D5" s="1382"/>
      <c r="E5" s="1383" t="s">
        <v>474</v>
      </c>
      <c r="F5" s="1383" t="s">
        <v>475</v>
      </c>
      <c r="G5" s="1383" t="s">
        <v>476</v>
      </c>
      <c r="H5" s="1383" t="s">
        <v>477</v>
      </c>
      <c r="I5" s="1383" t="s">
        <v>478</v>
      </c>
      <c r="J5" s="1383"/>
      <c r="K5" s="1383"/>
    </row>
    <row r="6" spans="1:11" x14ac:dyDescent="0.25">
      <c r="A6" s="1382"/>
      <c r="B6" s="1382"/>
      <c r="C6" s="1382"/>
      <c r="D6" s="1382"/>
      <c r="E6" s="1383"/>
      <c r="F6" s="1383"/>
      <c r="G6" s="1383"/>
      <c r="H6" s="1383"/>
      <c r="I6" s="1383" t="s">
        <v>6</v>
      </c>
      <c r="J6" s="1383" t="s">
        <v>293</v>
      </c>
      <c r="K6" s="1383"/>
    </row>
    <row r="7" spans="1:11" ht="29.25" customHeight="1" x14ac:dyDescent="0.25">
      <c r="A7" s="1382"/>
      <c r="B7" s="1382"/>
      <c r="C7" s="1382"/>
      <c r="D7" s="1382"/>
      <c r="E7" s="1383"/>
      <c r="F7" s="1383"/>
      <c r="G7" s="1383"/>
      <c r="H7" s="1383"/>
      <c r="I7" s="1383"/>
      <c r="J7" s="1383" t="s">
        <v>479</v>
      </c>
      <c r="K7" s="1383" t="s">
        <v>346</v>
      </c>
    </row>
    <row r="8" spans="1:11" x14ac:dyDescent="0.25">
      <c r="A8" s="1382"/>
      <c r="B8" s="1382"/>
      <c r="C8" s="1382"/>
      <c r="D8" s="1382"/>
      <c r="E8" s="1383"/>
      <c r="F8" s="1383"/>
      <c r="G8" s="1383"/>
      <c r="H8" s="1383"/>
      <c r="I8" s="1383"/>
      <c r="J8" s="1383"/>
      <c r="K8" s="1383"/>
    </row>
    <row r="9" spans="1:11" x14ac:dyDescent="0.25">
      <c r="A9" s="1384">
        <v>1</v>
      </c>
      <c r="B9" s="1384">
        <v>2</v>
      </c>
      <c r="C9" s="1384">
        <v>3</v>
      </c>
      <c r="D9" s="1384">
        <v>4</v>
      </c>
      <c r="E9" s="1385">
        <v>5</v>
      </c>
      <c r="F9" s="1384">
        <v>6</v>
      </c>
      <c r="G9" s="1384">
        <v>7</v>
      </c>
      <c r="H9" s="1384">
        <v>8</v>
      </c>
      <c r="I9" s="1384">
        <v>9</v>
      </c>
      <c r="J9" s="1385">
        <v>10</v>
      </c>
      <c r="K9" s="1384">
        <v>11</v>
      </c>
    </row>
    <row r="10" spans="1:11" x14ac:dyDescent="0.25">
      <c r="A10" s="1386">
        <v>1</v>
      </c>
      <c r="B10" s="1386">
        <v>25004</v>
      </c>
      <c r="C10" s="1387" t="s">
        <v>17</v>
      </c>
      <c r="D10" s="805">
        <f>E10+F10+G10+H10+I10</f>
        <v>31774</v>
      </c>
      <c r="E10" s="805"/>
      <c r="F10" s="805"/>
      <c r="G10" s="805"/>
      <c r="H10" s="805"/>
      <c r="I10" s="805">
        <f t="shared" ref="I10:I31" si="0">J10+K10</f>
        <v>31774</v>
      </c>
      <c r="J10" s="805">
        <v>8205</v>
      </c>
      <c r="K10" s="805">
        <v>23569</v>
      </c>
    </row>
    <row r="11" spans="1:11" x14ac:dyDescent="0.25">
      <c r="A11" s="1386">
        <v>2</v>
      </c>
      <c r="B11" s="1386">
        <v>22103</v>
      </c>
      <c r="C11" s="1387" t="s">
        <v>19</v>
      </c>
      <c r="D11" s="805">
        <f t="shared" ref="D11:D74" si="1">E11+F11+G11+H11+I11</f>
        <v>32004</v>
      </c>
      <c r="E11" s="805"/>
      <c r="F11" s="805"/>
      <c r="G11" s="805"/>
      <c r="H11" s="805"/>
      <c r="I11" s="805">
        <f t="shared" si="0"/>
        <v>32004</v>
      </c>
      <c r="J11" s="805">
        <v>9269</v>
      </c>
      <c r="K11" s="805">
        <v>22735</v>
      </c>
    </row>
    <row r="12" spans="1:11" x14ac:dyDescent="0.25">
      <c r="A12" s="1386">
        <v>3</v>
      </c>
      <c r="B12" s="1386">
        <v>25001</v>
      </c>
      <c r="C12" s="1387" t="s">
        <v>21</v>
      </c>
      <c r="D12" s="805">
        <f t="shared" si="1"/>
        <v>101819</v>
      </c>
      <c r="E12" s="805"/>
      <c r="F12" s="805">
        <v>3749</v>
      </c>
      <c r="G12" s="805"/>
      <c r="H12" s="805"/>
      <c r="I12" s="805">
        <f t="shared" si="0"/>
        <v>98070</v>
      </c>
      <c r="J12" s="805">
        <v>34847</v>
      </c>
      <c r="K12" s="805">
        <v>63223</v>
      </c>
    </row>
    <row r="13" spans="1:11" ht="27" customHeight="1" x14ac:dyDescent="0.25">
      <c r="A13" s="1386">
        <v>4</v>
      </c>
      <c r="B13" s="1386">
        <v>21668</v>
      </c>
      <c r="C13" s="1387" t="s">
        <v>480</v>
      </c>
      <c r="D13" s="805">
        <f t="shared" si="1"/>
        <v>0</v>
      </c>
      <c r="E13" s="805"/>
      <c r="F13" s="805"/>
      <c r="G13" s="805"/>
      <c r="H13" s="805"/>
      <c r="I13" s="805">
        <f t="shared" si="0"/>
        <v>0</v>
      </c>
      <c r="J13" s="805"/>
      <c r="K13" s="805"/>
    </row>
    <row r="14" spans="1:11" x14ac:dyDescent="0.25">
      <c r="A14" s="1386">
        <v>5</v>
      </c>
      <c r="B14" s="1386">
        <v>25005</v>
      </c>
      <c r="C14" s="1387" t="s">
        <v>23</v>
      </c>
      <c r="D14" s="805">
        <f t="shared" si="1"/>
        <v>34766</v>
      </c>
      <c r="E14" s="805"/>
      <c r="F14" s="805"/>
      <c r="G14" s="805"/>
      <c r="H14" s="805"/>
      <c r="I14" s="805">
        <f t="shared" si="0"/>
        <v>34766</v>
      </c>
      <c r="J14" s="805">
        <v>8884</v>
      </c>
      <c r="K14" s="805">
        <v>25882</v>
      </c>
    </row>
    <row r="15" spans="1:11" ht="25.5" customHeight="1" x14ac:dyDescent="0.25">
      <c r="A15" s="1386">
        <v>6</v>
      </c>
      <c r="B15" s="1386">
        <v>22102</v>
      </c>
      <c r="C15" s="1387" t="s">
        <v>25</v>
      </c>
      <c r="D15" s="805">
        <f t="shared" si="1"/>
        <v>37842</v>
      </c>
      <c r="E15" s="805"/>
      <c r="F15" s="805"/>
      <c r="G15" s="805"/>
      <c r="H15" s="805"/>
      <c r="I15" s="805">
        <f t="shared" si="0"/>
        <v>37842</v>
      </c>
      <c r="J15" s="805">
        <v>9883</v>
      </c>
      <c r="K15" s="805">
        <v>27959</v>
      </c>
    </row>
    <row r="16" spans="1:11" x14ac:dyDescent="0.25">
      <c r="A16" s="1386">
        <v>7</v>
      </c>
      <c r="B16" s="1386">
        <v>21201</v>
      </c>
      <c r="C16" s="1387" t="s">
        <v>27</v>
      </c>
      <c r="D16" s="805">
        <f t="shared" si="1"/>
        <v>276136</v>
      </c>
      <c r="E16" s="805"/>
      <c r="F16" s="805">
        <v>6396</v>
      </c>
      <c r="G16" s="805"/>
      <c r="H16" s="805"/>
      <c r="I16" s="805">
        <f t="shared" si="0"/>
        <v>269740</v>
      </c>
      <c r="J16" s="805">
        <v>71878</v>
      </c>
      <c r="K16" s="805">
        <v>197862</v>
      </c>
    </row>
    <row r="17" spans="1:11" x14ac:dyDescent="0.25">
      <c r="A17" s="1386">
        <v>8</v>
      </c>
      <c r="B17" s="1386">
        <v>27001</v>
      </c>
      <c r="C17" s="1387" t="s">
        <v>29</v>
      </c>
      <c r="D17" s="805">
        <f t="shared" si="1"/>
        <v>97690</v>
      </c>
      <c r="E17" s="805"/>
      <c r="F17" s="805"/>
      <c r="G17" s="805"/>
      <c r="H17" s="805"/>
      <c r="I17" s="805">
        <f t="shared" si="0"/>
        <v>97690</v>
      </c>
      <c r="J17" s="805">
        <v>32676</v>
      </c>
      <c r="K17" s="805">
        <v>65014</v>
      </c>
    </row>
    <row r="18" spans="1:11" x14ac:dyDescent="0.25">
      <c r="A18" s="1386">
        <v>9</v>
      </c>
      <c r="B18" s="1386">
        <v>21206</v>
      </c>
      <c r="C18" s="1387" t="s">
        <v>31</v>
      </c>
      <c r="D18" s="805">
        <f t="shared" si="1"/>
        <v>40544</v>
      </c>
      <c r="E18" s="805"/>
      <c r="F18" s="805"/>
      <c r="G18" s="805"/>
      <c r="H18" s="805"/>
      <c r="I18" s="805">
        <f t="shared" si="0"/>
        <v>40544</v>
      </c>
      <c r="J18" s="805">
        <v>11013</v>
      </c>
      <c r="K18" s="805">
        <v>29531</v>
      </c>
    </row>
    <row r="19" spans="1:11" x14ac:dyDescent="0.25">
      <c r="A19" s="1386">
        <v>10</v>
      </c>
      <c r="B19" s="1386">
        <v>25003</v>
      </c>
      <c r="C19" s="1387" t="s">
        <v>33</v>
      </c>
      <c r="D19" s="805">
        <f t="shared" si="1"/>
        <v>35290</v>
      </c>
      <c r="E19" s="805"/>
      <c r="F19" s="805"/>
      <c r="G19" s="805"/>
      <c r="H19" s="805"/>
      <c r="I19" s="805">
        <f t="shared" si="0"/>
        <v>35290</v>
      </c>
      <c r="J19" s="805">
        <v>9621</v>
      </c>
      <c r="K19" s="805">
        <v>25669</v>
      </c>
    </row>
    <row r="20" spans="1:11" x14ac:dyDescent="0.25">
      <c r="A20" s="1386">
        <v>11</v>
      </c>
      <c r="B20" s="1386">
        <v>21205</v>
      </c>
      <c r="C20" s="1387" t="s">
        <v>35</v>
      </c>
      <c r="D20" s="805">
        <f t="shared" si="1"/>
        <v>45243</v>
      </c>
      <c r="E20" s="805"/>
      <c r="F20" s="805"/>
      <c r="G20" s="805"/>
      <c r="H20" s="805"/>
      <c r="I20" s="805">
        <f t="shared" si="0"/>
        <v>45243</v>
      </c>
      <c r="J20" s="805">
        <v>12249</v>
      </c>
      <c r="K20" s="805">
        <v>32994</v>
      </c>
    </row>
    <row r="21" spans="1:11" x14ac:dyDescent="0.25">
      <c r="A21" s="1386">
        <v>12</v>
      </c>
      <c r="B21" s="1386">
        <v>25002</v>
      </c>
      <c r="C21" s="1387" t="s">
        <v>37</v>
      </c>
      <c r="D21" s="805">
        <f t="shared" si="1"/>
        <v>36971</v>
      </c>
      <c r="E21" s="805"/>
      <c r="F21" s="805"/>
      <c r="G21" s="805"/>
      <c r="H21" s="805"/>
      <c r="I21" s="805">
        <f t="shared" si="0"/>
        <v>36971</v>
      </c>
      <c r="J21" s="805">
        <v>8576</v>
      </c>
      <c r="K21" s="805">
        <v>28395</v>
      </c>
    </row>
    <row r="22" spans="1:11" x14ac:dyDescent="0.25">
      <c r="A22" s="1386">
        <v>13</v>
      </c>
      <c r="B22" s="1386">
        <v>22104</v>
      </c>
      <c r="C22" s="1387" t="s">
        <v>39</v>
      </c>
      <c r="D22" s="805">
        <f t="shared" si="1"/>
        <v>72553</v>
      </c>
      <c r="E22" s="805"/>
      <c r="F22" s="805"/>
      <c r="G22" s="805"/>
      <c r="H22" s="805"/>
      <c r="I22" s="805">
        <f t="shared" si="0"/>
        <v>72553</v>
      </c>
      <c r="J22" s="805">
        <v>26158</v>
      </c>
      <c r="K22" s="805">
        <v>46395</v>
      </c>
    </row>
    <row r="23" spans="1:11" x14ac:dyDescent="0.25">
      <c r="A23" s="1386">
        <v>14</v>
      </c>
      <c r="B23" s="1386">
        <v>21501</v>
      </c>
      <c r="C23" s="1387" t="s">
        <v>45</v>
      </c>
      <c r="D23" s="805">
        <f t="shared" si="1"/>
        <v>47999</v>
      </c>
      <c r="E23" s="805"/>
      <c r="F23" s="805"/>
      <c r="G23" s="805"/>
      <c r="H23" s="805"/>
      <c r="I23" s="805">
        <f t="shared" si="0"/>
        <v>47999</v>
      </c>
      <c r="J23" s="805">
        <v>10911</v>
      </c>
      <c r="K23" s="805">
        <v>37088</v>
      </c>
    </row>
    <row r="24" spans="1:11" x14ac:dyDescent="0.25">
      <c r="A24" s="1386">
        <v>15</v>
      </c>
      <c r="B24" s="1386">
        <v>24001</v>
      </c>
      <c r="C24" s="1387" t="s">
        <v>47</v>
      </c>
      <c r="D24" s="805">
        <f t="shared" si="1"/>
        <v>71295</v>
      </c>
      <c r="E24" s="805"/>
      <c r="F24" s="805"/>
      <c r="G24" s="805"/>
      <c r="H24" s="805"/>
      <c r="I24" s="805">
        <f t="shared" si="0"/>
        <v>71295</v>
      </c>
      <c r="J24" s="805">
        <v>10039</v>
      </c>
      <c r="K24" s="805">
        <v>61256</v>
      </c>
    </row>
    <row r="25" spans="1:11" x14ac:dyDescent="0.25">
      <c r="A25" s="1386">
        <v>16</v>
      </c>
      <c r="B25" s="1386">
        <v>22001</v>
      </c>
      <c r="C25" s="1387" t="s">
        <v>49</v>
      </c>
      <c r="D25" s="805">
        <f t="shared" si="1"/>
        <v>92878</v>
      </c>
      <c r="E25" s="805"/>
      <c r="F25" s="805"/>
      <c r="G25" s="805"/>
      <c r="H25" s="805"/>
      <c r="I25" s="805">
        <f t="shared" si="0"/>
        <v>92878</v>
      </c>
      <c r="J25" s="805">
        <v>29498</v>
      </c>
      <c r="K25" s="805">
        <v>63380</v>
      </c>
    </row>
    <row r="26" spans="1:11" x14ac:dyDescent="0.25">
      <c r="A26" s="1386">
        <v>17</v>
      </c>
      <c r="B26" s="1386">
        <v>24005</v>
      </c>
      <c r="C26" s="1387" t="s">
        <v>51</v>
      </c>
      <c r="D26" s="805">
        <f t="shared" si="1"/>
        <v>176113</v>
      </c>
      <c r="E26" s="805"/>
      <c r="F26" s="805">
        <v>5525</v>
      </c>
      <c r="G26" s="805"/>
      <c r="H26" s="805"/>
      <c r="I26" s="805">
        <f t="shared" si="0"/>
        <v>170588</v>
      </c>
      <c r="J26" s="805">
        <v>52240</v>
      </c>
      <c r="K26" s="805">
        <v>118348</v>
      </c>
    </row>
    <row r="27" spans="1:11" x14ac:dyDescent="0.25">
      <c r="A27" s="1386">
        <v>18</v>
      </c>
      <c r="B27" s="1386">
        <v>24002</v>
      </c>
      <c r="C27" s="1387" t="s">
        <v>53</v>
      </c>
      <c r="D27" s="805">
        <f t="shared" si="1"/>
        <v>29624</v>
      </c>
      <c r="E27" s="805"/>
      <c r="F27" s="805"/>
      <c r="G27" s="805"/>
      <c r="H27" s="805"/>
      <c r="I27" s="805">
        <f t="shared" si="0"/>
        <v>29624</v>
      </c>
      <c r="J27" s="805">
        <v>11727</v>
      </c>
      <c r="K27" s="805">
        <v>17897</v>
      </c>
    </row>
    <row r="28" spans="1:11" x14ac:dyDescent="0.25">
      <c r="A28" s="1386">
        <v>19</v>
      </c>
      <c r="B28" s="1386">
        <v>22012</v>
      </c>
      <c r="C28" s="1387" t="s">
        <v>55</v>
      </c>
      <c r="D28" s="805">
        <f t="shared" si="1"/>
        <v>22831</v>
      </c>
      <c r="E28" s="805"/>
      <c r="F28" s="805"/>
      <c r="G28" s="805"/>
      <c r="H28" s="805"/>
      <c r="I28" s="805">
        <f t="shared" si="0"/>
        <v>22831</v>
      </c>
      <c r="J28" s="805">
        <v>5022</v>
      </c>
      <c r="K28" s="805">
        <v>17809</v>
      </c>
    </row>
    <row r="29" spans="1:11" x14ac:dyDescent="0.25">
      <c r="A29" s="1386">
        <v>20</v>
      </c>
      <c r="B29" s="1386">
        <v>21901</v>
      </c>
      <c r="C29" s="1387" t="s">
        <v>57</v>
      </c>
      <c r="D29" s="805">
        <f t="shared" si="1"/>
        <v>118269</v>
      </c>
      <c r="E29" s="805"/>
      <c r="F29" s="805"/>
      <c r="G29" s="805"/>
      <c r="H29" s="805"/>
      <c r="I29" s="805">
        <f t="shared" si="0"/>
        <v>118269</v>
      </c>
      <c r="J29" s="805">
        <v>49512</v>
      </c>
      <c r="K29" s="805">
        <v>68757</v>
      </c>
    </row>
    <row r="30" spans="1:11" x14ac:dyDescent="0.25">
      <c r="A30" s="1386">
        <v>21</v>
      </c>
      <c r="B30" s="1386">
        <v>21502</v>
      </c>
      <c r="C30" s="1387" t="s">
        <v>59</v>
      </c>
      <c r="D30" s="805">
        <f t="shared" si="1"/>
        <v>105217</v>
      </c>
      <c r="E30" s="805"/>
      <c r="F30" s="805">
        <v>3499</v>
      </c>
      <c r="G30" s="805"/>
      <c r="H30" s="805"/>
      <c r="I30" s="805">
        <f t="shared" si="0"/>
        <v>101718</v>
      </c>
      <c r="J30" s="805">
        <v>33573</v>
      </c>
      <c r="K30" s="805">
        <v>68145</v>
      </c>
    </row>
    <row r="31" spans="1:11" ht="24" x14ac:dyDescent="0.25">
      <c r="A31" s="1386">
        <v>22</v>
      </c>
      <c r="B31" s="1386">
        <v>24006</v>
      </c>
      <c r="C31" s="1387" t="s">
        <v>481</v>
      </c>
      <c r="D31" s="805">
        <f t="shared" si="1"/>
        <v>23662</v>
      </c>
      <c r="E31" s="805"/>
      <c r="F31" s="805"/>
      <c r="G31" s="805"/>
      <c r="H31" s="805"/>
      <c r="I31" s="805">
        <f t="shared" si="0"/>
        <v>23662</v>
      </c>
      <c r="J31" s="805">
        <v>8082</v>
      </c>
      <c r="K31" s="805">
        <v>15580</v>
      </c>
    </row>
    <row r="32" spans="1:11" x14ac:dyDescent="0.25">
      <c r="A32" s="1386">
        <v>23</v>
      </c>
      <c r="B32" s="1386">
        <v>21601</v>
      </c>
      <c r="C32" s="1387" t="s">
        <v>482</v>
      </c>
      <c r="D32" s="805">
        <f t="shared" si="1"/>
        <v>287150</v>
      </c>
      <c r="E32" s="805"/>
      <c r="F32" s="805">
        <v>11479</v>
      </c>
      <c r="G32" s="805"/>
      <c r="H32" s="805">
        <v>4540</v>
      </c>
      <c r="I32" s="805">
        <f>J32+K32</f>
        <v>271131</v>
      </c>
      <c r="J32" s="805">
        <f>43707+25603</f>
        <v>69310</v>
      </c>
      <c r="K32" s="805">
        <f>115324+86497</f>
        <v>201821</v>
      </c>
    </row>
    <row r="33" spans="1:11" x14ac:dyDescent="0.25">
      <c r="A33" s="1386">
        <v>24</v>
      </c>
      <c r="B33" s="1386">
        <v>21602</v>
      </c>
      <c r="C33" s="1387" t="s">
        <v>483</v>
      </c>
      <c r="D33" s="805">
        <f t="shared" si="1"/>
        <v>80071</v>
      </c>
      <c r="E33" s="805"/>
      <c r="F33" s="805"/>
      <c r="G33" s="805"/>
      <c r="H33" s="805"/>
      <c r="I33" s="805">
        <f t="shared" ref="I33:I96" si="2">J33+K33</f>
        <v>80071</v>
      </c>
      <c r="J33" s="805">
        <f>43890-25603</f>
        <v>18287</v>
      </c>
      <c r="K33" s="805">
        <f>148281-86497</f>
        <v>61784</v>
      </c>
    </row>
    <row r="34" spans="1:11" x14ac:dyDescent="0.25">
      <c r="A34" s="1386">
        <v>25</v>
      </c>
      <c r="B34" s="1386">
        <v>21616</v>
      </c>
      <c r="C34" s="1387" t="s">
        <v>484</v>
      </c>
      <c r="D34" s="805">
        <f t="shared" si="1"/>
        <v>75068</v>
      </c>
      <c r="E34" s="805"/>
      <c r="F34" s="805"/>
      <c r="G34" s="805"/>
      <c r="H34" s="805">
        <v>3595</v>
      </c>
      <c r="I34" s="805">
        <f t="shared" si="2"/>
        <v>71473</v>
      </c>
      <c r="J34" s="805">
        <v>8675</v>
      </c>
      <c r="K34" s="805">
        <v>62798</v>
      </c>
    </row>
    <row r="35" spans="1:11" x14ac:dyDescent="0.25">
      <c r="A35" s="1386">
        <v>26</v>
      </c>
      <c r="B35" s="1386">
        <v>21636</v>
      </c>
      <c r="C35" s="1387" t="s">
        <v>73</v>
      </c>
      <c r="D35" s="805">
        <f t="shared" si="1"/>
        <v>65442</v>
      </c>
      <c r="E35" s="805"/>
      <c r="F35" s="805"/>
      <c r="G35" s="805">
        <v>65442</v>
      </c>
      <c r="H35" s="805"/>
      <c r="I35" s="805">
        <f t="shared" si="2"/>
        <v>0</v>
      </c>
      <c r="J35" s="805"/>
      <c r="K35" s="805"/>
    </row>
    <row r="36" spans="1:11" ht="24" x14ac:dyDescent="0.25">
      <c r="A36" s="1386">
        <v>27</v>
      </c>
      <c r="B36" s="1386">
        <v>21604</v>
      </c>
      <c r="C36" s="1387" t="s">
        <v>485</v>
      </c>
      <c r="D36" s="805">
        <f t="shared" si="1"/>
        <v>12215</v>
      </c>
      <c r="E36" s="805"/>
      <c r="F36" s="805"/>
      <c r="G36" s="805"/>
      <c r="H36" s="805"/>
      <c r="I36" s="805">
        <f t="shared" si="2"/>
        <v>12215</v>
      </c>
      <c r="J36" s="805">
        <v>4800</v>
      </c>
      <c r="K36" s="805">
        <v>7415</v>
      </c>
    </row>
    <row r="37" spans="1:11" x14ac:dyDescent="0.25">
      <c r="A37" s="1386">
        <v>28</v>
      </c>
      <c r="B37" s="1386">
        <v>21111</v>
      </c>
      <c r="C37" s="1387" t="s">
        <v>78</v>
      </c>
      <c r="D37" s="805">
        <f t="shared" si="1"/>
        <v>147139</v>
      </c>
      <c r="E37" s="805"/>
      <c r="F37" s="805">
        <v>5521</v>
      </c>
      <c r="G37" s="805"/>
      <c r="H37" s="805"/>
      <c r="I37" s="805">
        <f t="shared" si="2"/>
        <v>141618</v>
      </c>
      <c r="J37" s="805">
        <v>45717</v>
      </c>
      <c r="K37" s="805">
        <v>95901</v>
      </c>
    </row>
    <row r="38" spans="1:11" x14ac:dyDescent="0.25">
      <c r="A38" s="1386">
        <v>29</v>
      </c>
      <c r="B38" s="1386">
        <v>21424</v>
      </c>
      <c r="C38" s="1387" t="s">
        <v>80</v>
      </c>
      <c r="D38" s="805">
        <f t="shared" si="1"/>
        <v>209940</v>
      </c>
      <c r="E38" s="805"/>
      <c r="F38" s="805">
        <v>3353</v>
      </c>
      <c r="G38" s="805"/>
      <c r="H38" s="805"/>
      <c r="I38" s="805">
        <f t="shared" si="2"/>
        <v>206587</v>
      </c>
      <c r="J38" s="805">
        <v>72680</v>
      </c>
      <c r="K38" s="805">
        <v>133907</v>
      </c>
    </row>
    <row r="39" spans="1:11" x14ac:dyDescent="0.25">
      <c r="A39" s="1386">
        <v>30</v>
      </c>
      <c r="B39" s="1386">
        <v>21105</v>
      </c>
      <c r="C39" s="1387" t="s">
        <v>82</v>
      </c>
      <c r="D39" s="805">
        <f t="shared" si="1"/>
        <v>41252</v>
      </c>
      <c r="E39" s="805"/>
      <c r="F39" s="805"/>
      <c r="G39" s="805"/>
      <c r="H39" s="805"/>
      <c r="I39" s="805">
        <f t="shared" si="2"/>
        <v>41252</v>
      </c>
      <c r="J39" s="805">
        <v>10869</v>
      </c>
      <c r="K39" s="805">
        <v>30383</v>
      </c>
    </row>
    <row r="40" spans="1:11" x14ac:dyDescent="0.25">
      <c r="A40" s="1386">
        <v>31</v>
      </c>
      <c r="B40" s="1386">
        <v>29001</v>
      </c>
      <c r="C40" s="1387" t="s">
        <v>84</v>
      </c>
      <c r="D40" s="805">
        <f t="shared" si="1"/>
        <v>139657</v>
      </c>
      <c r="E40" s="805"/>
      <c r="F40" s="805"/>
      <c r="G40" s="805"/>
      <c r="H40" s="805"/>
      <c r="I40" s="805">
        <f t="shared" si="2"/>
        <v>139657</v>
      </c>
      <c r="J40" s="805">
        <v>44870</v>
      </c>
      <c r="K40" s="805">
        <v>94787</v>
      </c>
    </row>
    <row r="41" spans="1:11" x14ac:dyDescent="0.25">
      <c r="A41" s="1386">
        <v>32</v>
      </c>
      <c r="B41" s="1386">
        <v>21605</v>
      </c>
      <c r="C41" s="1387" t="s">
        <v>86</v>
      </c>
      <c r="D41" s="805">
        <f t="shared" si="1"/>
        <v>53687</v>
      </c>
      <c r="E41" s="805"/>
      <c r="F41" s="805"/>
      <c r="G41" s="805"/>
      <c r="H41" s="805"/>
      <c r="I41" s="805">
        <f t="shared" si="2"/>
        <v>53687</v>
      </c>
      <c r="J41" s="805">
        <v>18513</v>
      </c>
      <c r="K41" s="805">
        <v>35174</v>
      </c>
    </row>
    <row r="42" spans="1:11" x14ac:dyDescent="0.25">
      <c r="A42" s="1386">
        <v>33</v>
      </c>
      <c r="B42" s="1386">
        <v>21104</v>
      </c>
      <c r="C42" s="1387" t="s">
        <v>88</v>
      </c>
      <c r="D42" s="805">
        <f t="shared" si="1"/>
        <v>139780</v>
      </c>
      <c r="E42" s="805"/>
      <c r="F42" s="805"/>
      <c r="G42" s="805"/>
      <c r="H42" s="805"/>
      <c r="I42" s="805">
        <f t="shared" si="2"/>
        <v>139780</v>
      </c>
      <c r="J42" s="805">
        <v>34050</v>
      </c>
      <c r="K42" s="805">
        <v>105730</v>
      </c>
    </row>
    <row r="43" spans="1:11" x14ac:dyDescent="0.25">
      <c r="A43" s="1386">
        <v>34</v>
      </c>
      <c r="B43" s="1386">
        <v>21102</v>
      </c>
      <c r="C43" s="1387" t="s">
        <v>90</v>
      </c>
      <c r="D43" s="805">
        <f t="shared" si="1"/>
        <v>48747</v>
      </c>
      <c r="E43" s="805"/>
      <c r="F43" s="805"/>
      <c r="G43" s="805"/>
      <c r="H43" s="805"/>
      <c r="I43" s="805">
        <f t="shared" si="2"/>
        <v>48747</v>
      </c>
      <c r="J43" s="805">
        <v>14620</v>
      </c>
      <c r="K43" s="805">
        <v>34127</v>
      </c>
    </row>
    <row r="44" spans="1:11" x14ac:dyDescent="0.25">
      <c r="A44" s="1386">
        <v>35</v>
      </c>
      <c r="B44" s="1386">
        <v>21606</v>
      </c>
      <c r="C44" s="1387" t="s">
        <v>92</v>
      </c>
      <c r="D44" s="805">
        <f t="shared" si="1"/>
        <v>29989</v>
      </c>
      <c r="E44" s="805"/>
      <c r="F44" s="805"/>
      <c r="G44" s="805"/>
      <c r="H44" s="805"/>
      <c r="I44" s="805">
        <f t="shared" si="2"/>
        <v>29989</v>
      </c>
      <c r="J44" s="805">
        <v>10399</v>
      </c>
      <c r="K44" s="805">
        <v>19590</v>
      </c>
    </row>
    <row r="45" spans="1:11" x14ac:dyDescent="0.25">
      <c r="A45" s="1386">
        <v>36</v>
      </c>
      <c r="B45" s="1386">
        <v>21607</v>
      </c>
      <c r="C45" s="1387" t="s">
        <v>94</v>
      </c>
      <c r="D45" s="805">
        <f t="shared" si="1"/>
        <v>52917</v>
      </c>
      <c r="E45" s="805"/>
      <c r="F45" s="805"/>
      <c r="G45" s="805"/>
      <c r="H45" s="805"/>
      <c r="I45" s="805">
        <f t="shared" si="2"/>
        <v>52917</v>
      </c>
      <c r="J45" s="805">
        <v>16330</v>
      </c>
      <c r="K45" s="805">
        <v>36587</v>
      </c>
    </row>
    <row r="46" spans="1:11" x14ac:dyDescent="0.25">
      <c r="A46" s="1386">
        <v>37</v>
      </c>
      <c r="B46" s="1386">
        <v>21405</v>
      </c>
      <c r="C46" s="1387" t="s">
        <v>96</v>
      </c>
      <c r="D46" s="805">
        <f t="shared" si="1"/>
        <v>24234</v>
      </c>
      <c r="E46" s="805"/>
      <c r="F46" s="805"/>
      <c r="G46" s="805"/>
      <c r="H46" s="805"/>
      <c r="I46" s="805">
        <f t="shared" si="2"/>
        <v>24234</v>
      </c>
      <c r="J46" s="805">
        <v>7648</v>
      </c>
      <c r="K46" s="805">
        <v>16586</v>
      </c>
    </row>
    <row r="47" spans="1:11" x14ac:dyDescent="0.25">
      <c r="A47" s="1386">
        <v>38</v>
      </c>
      <c r="B47" s="1386">
        <v>21401</v>
      </c>
      <c r="C47" s="1387" t="s">
        <v>486</v>
      </c>
      <c r="D47" s="805">
        <f t="shared" si="1"/>
        <v>20454</v>
      </c>
      <c r="E47" s="805"/>
      <c r="F47" s="805"/>
      <c r="G47" s="805"/>
      <c r="H47" s="805"/>
      <c r="I47" s="805">
        <f t="shared" si="2"/>
        <v>20454</v>
      </c>
      <c r="J47" s="805">
        <v>2764</v>
      </c>
      <c r="K47" s="805">
        <v>17690</v>
      </c>
    </row>
    <row r="48" spans="1:11" x14ac:dyDescent="0.25">
      <c r="A48" s="1386">
        <v>39</v>
      </c>
      <c r="B48" s="1386">
        <v>21303</v>
      </c>
      <c r="C48" s="1387" t="s">
        <v>100</v>
      </c>
      <c r="D48" s="805">
        <f t="shared" si="1"/>
        <v>186689</v>
      </c>
      <c r="E48" s="805"/>
      <c r="F48" s="805">
        <v>6855</v>
      </c>
      <c r="G48" s="805"/>
      <c r="H48" s="805"/>
      <c r="I48" s="805">
        <f t="shared" si="2"/>
        <v>179834</v>
      </c>
      <c r="J48" s="805">
        <v>56770</v>
      </c>
      <c r="K48" s="805">
        <v>123064</v>
      </c>
    </row>
    <row r="49" spans="1:11" x14ac:dyDescent="0.25">
      <c r="A49" s="1386">
        <v>40</v>
      </c>
      <c r="B49" s="1386">
        <v>28004</v>
      </c>
      <c r="C49" s="1387" t="s">
        <v>102</v>
      </c>
      <c r="D49" s="805">
        <f t="shared" si="1"/>
        <v>44251</v>
      </c>
      <c r="E49" s="805"/>
      <c r="F49" s="805"/>
      <c r="G49" s="805"/>
      <c r="H49" s="805"/>
      <c r="I49" s="805">
        <f t="shared" si="2"/>
        <v>44251</v>
      </c>
      <c r="J49" s="805">
        <v>10397</v>
      </c>
      <c r="K49" s="805">
        <v>33854</v>
      </c>
    </row>
    <row r="50" spans="1:11" x14ac:dyDescent="0.25">
      <c r="A50" s="1386">
        <v>41</v>
      </c>
      <c r="B50" s="1386">
        <v>23002</v>
      </c>
      <c r="C50" s="1387" t="s">
        <v>104</v>
      </c>
      <c r="D50" s="805">
        <f t="shared" si="1"/>
        <v>151381</v>
      </c>
      <c r="E50" s="805"/>
      <c r="F50" s="805">
        <v>2540</v>
      </c>
      <c r="G50" s="805"/>
      <c r="H50" s="805"/>
      <c r="I50" s="805">
        <f t="shared" si="2"/>
        <v>148841</v>
      </c>
      <c r="J50" s="805">
        <v>33899</v>
      </c>
      <c r="K50" s="805">
        <v>114942</v>
      </c>
    </row>
    <row r="51" spans="1:11" x14ac:dyDescent="0.25">
      <c r="A51" s="1386">
        <v>42</v>
      </c>
      <c r="B51" s="1386">
        <v>23005</v>
      </c>
      <c r="C51" s="1387" t="s">
        <v>106</v>
      </c>
      <c r="D51" s="805">
        <f t="shared" si="1"/>
        <v>33091</v>
      </c>
      <c r="E51" s="805"/>
      <c r="F51" s="805"/>
      <c r="G51" s="805"/>
      <c r="H51" s="805"/>
      <c r="I51" s="805">
        <f t="shared" si="2"/>
        <v>33091</v>
      </c>
      <c r="J51" s="805">
        <v>8707</v>
      </c>
      <c r="K51" s="805">
        <v>24384</v>
      </c>
    </row>
    <row r="52" spans="1:11" x14ac:dyDescent="0.25">
      <c r="A52" s="1386">
        <v>43</v>
      </c>
      <c r="B52" s="1386">
        <v>28002</v>
      </c>
      <c r="C52" s="1387" t="s">
        <v>108</v>
      </c>
      <c r="D52" s="805">
        <f t="shared" si="1"/>
        <v>51746</v>
      </c>
      <c r="E52" s="805"/>
      <c r="F52" s="805"/>
      <c r="G52" s="805"/>
      <c r="H52" s="805"/>
      <c r="I52" s="805">
        <f t="shared" si="2"/>
        <v>51746</v>
      </c>
      <c r="J52" s="805">
        <v>13378</v>
      </c>
      <c r="K52" s="805">
        <v>38368</v>
      </c>
    </row>
    <row r="53" spans="1:11" x14ac:dyDescent="0.25">
      <c r="A53" s="1386">
        <v>44</v>
      </c>
      <c r="B53" s="1386">
        <v>21002</v>
      </c>
      <c r="C53" s="1387" t="s">
        <v>110</v>
      </c>
      <c r="D53" s="805">
        <f t="shared" si="1"/>
        <v>62442</v>
      </c>
      <c r="E53" s="805"/>
      <c r="F53" s="805"/>
      <c r="G53" s="805"/>
      <c r="H53" s="805"/>
      <c r="I53" s="805">
        <f t="shared" si="2"/>
        <v>62442</v>
      </c>
      <c r="J53" s="805">
        <v>16341</v>
      </c>
      <c r="K53" s="805">
        <v>46101</v>
      </c>
    </row>
    <row r="54" spans="1:11" x14ac:dyDescent="0.25">
      <c r="A54" s="1386">
        <v>45</v>
      </c>
      <c r="B54" s="1386">
        <v>23006</v>
      </c>
      <c r="C54" s="1387" t="s">
        <v>112</v>
      </c>
      <c r="D54" s="805">
        <f t="shared" si="1"/>
        <v>20985</v>
      </c>
      <c r="E54" s="805"/>
      <c r="F54" s="805"/>
      <c r="G54" s="805"/>
      <c r="H54" s="805"/>
      <c r="I54" s="805">
        <f t="shared" si="2"/>
        <v>20985</v>
      </c>
      <c r="J54" s="805">
        <v>7053</v>
      </c>
      <c r="K54" s="805">
        <v>13932</v>
      </c>
    </row>
    <row r="55" spans="1:11" x14ac:dyDescent="0.25">
      <c r="A55" s="1386">
        <v>46</v>
      </c>
      <c r="B55" s="1386">
        <v>21001</v>
      </c>
      <c r="C55" s="1387" t="s">
        <v>114</v>
      </c>
      <c r="D55" s="805">
        <f t="shared" si="1"/>
        <v>41692</v>
      </c>
      <c r="E55" s="805"/>
      <c r="F55" s="805"/>
      <c r="G55" s="805"/>
      <c r="H55" s="805"/>
      <c r="I55" s="805">
        <f t="shared" si="2"/>
        <v>41692</v>
      </c>
      <c r="J55" s="805">
        <v>12739</v>
      </c>
      <c r="K55" s="805">
        <v>28953</v>
      </c>
    </row>
    <row r="56" spans="1:11" x14ac:dyDescent="0.25">
      <c r="A56" s="1386">
        <v>47</v>
      </c>
      <c r="B56" s="1386">
        <v>21003</v>
      </c>
      <c r="C56" s="1387" t="s">
        <v>116</v>
      </c>
      <c r="D56" s="805">
        <f t="shared" si="1"/>
        <v>62934</v>
      </c>
      <c r="E56" s="805"/>
      <c r="F56" s="805"/>
      <c r="G56" s="805"/>
      <c r="H56" s="805"/>
      <c r="I56" s="805">
        <f t="shared" si="2"/>
        <v>62934</v>
      </c>
      <c r="J56" s="805">
        <v>18787</v>
      </c>
      <c r="K56" s="805">
        <v>44147</v>
      </c>
    </row>
    <row r="57" spans="1:11" x14ac:dyDescent="0.25">
      <c r="A57" s="1386">
        <v>48</v>
      </c>
      <c r="B57" s="1386">
        <v>21701</v>
      </c>
      <c r="C57" s="1387" t="s">
        <v>118</v>
      </c>
      <c r="D57" s="805">
        <f t="shared" si="1"/>
        <v>219602</v>
      </c>
      <c r="E57" s="805"/>
      <c r="F57" s="805"/>
      <c r="G57" s="805"/>
      <c r="H57" s="805"/>
      <c r="I57" s="805">
        <f t="shared" si="2"/>
        <v>219602</v>
      </c>
      <c r="J57" s="805">
        <v>50494</v>
      </c>
      <c r="K57" s="805">
        <v>169108</v>
      </c>
    </row>
    <row r="58" spans="1:11" x14ac:dyDescent="0.25">
      <c r="A58" s="1386">
        <v>49</v>
      </c>
      <c r="B58" s="1386">
        <v>21706</v>
      </c>
      <c r="C58" s="1387" t="s">
        <v>120</v>
      </c>
      <c r="D58" s="805">
        <f t="shared" si="1"/>
        <v>34377</v>
      </c>
      <c r="E58" s="805"/>
      <c r="F58" s="805"/>
      <c r="G58" s="805"/>
      <c r="H58" s="805"/>
      <c r="I58" s="805">
        <f t="shared" si="2"/>
        <v>34377</v>
      </c>
      <c r="J58" s="805">
        <v>8989</v>
      </c>
      <c r="K58" s="805">
        <v>25388</v>
      </c>
    </row>
    <row r="59" spans="1:11" x14ac:dyDescent="0.25">
      <c r="A59" s="1386">
        <v>50</v>
      </c>
      <c r="B59" s="1386">
        <v>21749</v>
      </c>
      <c r="C59" s="1387" t="s">
        <v>487</v>
      </c>
      <c r="D59" s="805">
        <f t="shared" si="1"/>
        <v>50</v>
      </c>
      <c r="E59" s="805"/>
      <c r="F59" s="805"/>
      <c r="G59" s="805">
        <v>50</v>
      </c>
      <c r="H59" s="805"/>
      <c r="I59" s="805">
        <f t="shared" si="2"/>
        <v>0</v>
      </c>
      <c r="J59" s="805"/>
      <c r="K59" s="805"/>
    </row>
    <row r="60" spans="1:11" x14ac:dyDescent="0.25">
      <c r="A60" s="1386">
        <v>51</v>
      </c>
      <c r="B60" s="1386">
        <v>21110</v>
      </c>
      <c r="C60" s="1387" t="s">
        <v>488</v>
      </c>
      <c r="D60" s="805">
        <f t="shared" si="1"/>
        <v>61003</v>
      </c>
      <c r="E60" s="805"/>
      <c r="F60" s="805"/>
      <c r="G60" s="805"/>
      <c r="H60" s="805"/>
      <c r="I60" s="805">
        <f t="shared" si="2"/>
        <v>61003</v>
      </c>
      <c r="J60" s="805">
        <v>11995</v>
      </c>
      <c r="K60" s="805">
        <v>49008</v>
      </c>
    </row>
    <row r="61" spans="1:11" x14ac:dyDescent="0.25">
      <c r="A61" s="1386">
        <v>52</v>
      </c>
      <c r="B61" s="1386">
        <v>21100</v>
      </c>
      <c r="C61" s="1387" t="s">
        <v>489</v>
      </c>
      <c r="D61" s="805">
        <f t="shared" si="1"/>
        <v>48437</v>
      </c>
      <c r="E61" s="805"/>
      <c r="F61" s="805"/>
      <c r="G61" s="805"/>
      <c r="H61" s="805"/>
      <c r="I61" s="805">
        <f t="shared" si="2"/>
        <v>48437</v>
      </c>
      <c r="J61" s="805">
        <v>11087</v>
      </c>
      <c r="K61" s="805">
        <v>37350</v>
      </c>
    </row>
    <row r="62" spans="1:11" x14ac:dyDescent="0.25">
      <c r="A62" s="1386">
        <v>53</v>
      </c>
      <c r="B62" s="1386">
        <v>27000</v>
      </c>
      <c r="C62" s="1387" t="s">
        <v>490</v>
      </c>
      <c r="D62" s="805">
        <f t="shared" si="1"/>
        <v>72840</v>
      </c>
      <c r="E62" s="805"/>
      <c r="F62" s="805"/>
      <c r="G62" s="805"/>
      <c r="H62" s="805">
        <v>3970</v>
      </c>
      <c r="I62" s="805">
        <f t="shared" si="2"/>
        <v>68870</v>
      </c>
      <c r="J62" s="805">
        <v>17719</v>
      </c>
      <c r="K62" s="805">
        <v>51151</v>
      </c>
    </row>
    <row r="63" spans="1:11" x14ac:dyDescent="0.25">
      <c r="A63" s="1386">
        <v>54</v>
      </c>
      <c r="B63" s="1386">
        <v>21120</v>
      </c>
      <c r="C63" s="1387" t="s">
        <v>491</v>
      </c>
      <c r="D63" s="805">
        <f t="shared" si="1"/>
        <v>91630</v>
      </c>
      <c r="E63" s="805"/>
      <c r="F63" s="805"/>
      <c r="G63" s="805"/>
      <c r="H63" s="805">
        <v>4474</v>
      </c>
      <c r="I63" s="805">
        <f t="shared" si="2"/>
        <v>87156</v>
      </c>
      <c r="J63" s="805">
        <v>19023</v>
      </c>
      <c r="K63" s="805">
        <v>68133</v>
      </c>
    </row>
    <row r="64" spans="1:11" x14ac:dyDescent="0.25">
      <c r="A64" s="1386">
        <v>55</v>
      </c>
      <c r="B64" s="1386">
        <v>21130</v>
      </c>
      <c r="C64" s="1387" t="s">
        <v>492</v>
      </c>
      <c r="D64" s="805">
        <f t="shared" si="1"/>
        <v>34992</v>
      </c>
      <c r="E64" s="805"/>
      <c r="F64" s="805"/>
      <c r="G64" s="805"/>
      <c r="H64" s="805"/>
      <c r="I64" s="805">
        <f t="shared" si="2"/>
        <v>34992</v>
      </c>
      <c r="J64" s="805">
        <v>9671</v>
      </c>
      <c r="K64" s="805">
        <v>25321</v>
      </c>
    </row>
    <row r="65" spans="1:11" x14ac:dyDescent="0.25">
      <c r="A65" s="1386">
        <v>56</v>
      </c>
      <c r="B65" s="1386">
        <v>21140</v>
      </c>
      <c r="C65" s="1387" t="s">
        <v>493</v>
      </c>
      <c r="D65" s="805">
        <f t="shared" si="1"/>
        <v>24483</v>
      </c>
      <c r="E65" s="805"/>
      <c r="F65" s="805"/>
      <c r="G65" s="805">
        <v>24483</v>
      </c>
      <c r="H65" s="805"/>
      <c r="I65" s="805">
        <f t="shared" si="2"/>
        <v>0</v>
      </c>
      <c r="J65" s="805"/>
      <c r="K65" s="805"/>
    </row>
    <row r="66" spans="1:11" x14ac:dyDescent="0.25">
      <c r="A66" s="1386">
        <v>57</v>
      </c>
      <c r="B66" s="1386">
        <v>21150</v>
      </c>
      <c r="C66" s="1387" t="s">
        <v>494</v>
      </c>
      <c r="D66" s="805">
        <f t="shared" si="1"/>
        <v>37194</v>
      </c>
      <c r="E66" s="805"/>
      <c r="F66" s="805"/>
      <c r="G66" s="805">
        <v>37194</v>
      </c>
      <c r="H66" s="805"/>
      <c r="I66" s="805">
        <f t="shared" si="2"/>
        <v>0</v>
      </c>
      <c r="J66" s="805"/>
      <c r="K66" s="805"/>
    </row>
    <row r="67" spans="1:11" ht="24" x14ac:dyDescent="0.25">
      <c r="A67" s="1386">
        <v>58</v>
      </c>
      <c r="B67" s="1386">
        <v>29100</v>
      </c>
      <c r="C67" s="1387" t="s">
        <v>495</v>
      </c>
      <c r="D67" s="805">
        <f t="shared" si="1"/>
        <v>124825</v>
      </c>
      <c r="E67" s="805">
        <v>5879</v>
      </c>
      <c r="F67" s="805"/>
      <c r="G67" s="805"/>
      <c r="H67" s="805"/>
      <c r="I67" s="805">
        <f t="shared" si="2"/>
        <v>118946</v>
      </c>
      <c r="J67" s="805">
        <v>29222</v>
      </c>
      <c r="K67" s="805">
        <v>89724</v>
      </c>
    </row>
    <row r="68" spans="1:11" ht="24" x14ac:dyDescent="0.25">
      <c r="A68" s="1386">
        <v>59</v>
      </c>
      <c r="B68" s="1386">
        <v>29300</v>
      </c>
      <c r="C68" s="1387" t="s">
        <v>496</v>
      </c>
      <c r="D68" s="805">
        <f t="shared" si="1"/>
        <v>65526</v>
      </c>
      <c r="E68" s="805"/>
      <c r="F68" s="805"/>
      <c r="G68" s="805"/>
      <c r="H68" s="805"/>
      <c r="I68" s="805">
        <f t="shared" si="2"/>
        <v>65526</v>
      </c>
      <c r="J68" s="805">
        <v>18017</v>
      </c>
      <c r="K68" s="805">
        <v>47509</v>
      </c>
    </row>
    <row r="69" spans="1:11" ht="24" x14ac:dyDescent="0.25">
      <c r="A69" s="1386">
        <v>60</v>
      </c>
      <c r="B69" s="1386">
        <v>29700</v>
      </c>
      <c r="C69" s="1387" t="s">
        <v>497</v>
      </c>
      <c r="D69" s="805">
        <f t="shared" si="1"/>
        <v>163871</v>
      </c>
      <c r="E69" s="805">
        <v>8643</v>
      </c>
      <c r="F69" s="805"/>
      <c r="G69" s="805"/>
      <c r="H69" s="805"/>
      <c r="I69" s="805">
        <f t="shared" si="2"/>
        <v>155228</v>
      </c>
      <c r="J69" s="805">
        <v>42888</v>
      </c>
      <c r="K69" s="805">
        <v>112340</v>
      </c>
    </row>
    <row r="70" spans="1:11" x14ac:dyDescent="0.25">
      <c r="A70" s="1386">
        <v>61</v>
      </c>
      <c r="B70" s="1386">
        <v>21040</v>
      </c>
      <c r="C70" s="1387" t="s">
        <v>498</v>
      </c>
      <c r="D70" s="805">
        <f t="shared" si="1"/>
        <v>17292</v>
      </c>
      <c r="E70" s="805"/>
      <c r="F70" s="805"/>
      <c r="G70" s="805">
        <v>17292</v>
      </c>
      <c r="H70" s="805"/>
      <c r="I70" s="805">
        <f t="shared" si="2"/>
        <v>0</v>
      </c>
      <c r="J70" s="805"/>
      <c r="K70" s="805"/>
    </row>
    <row r="71" spans="1:11" x14ac:dyDescent="0.25">
      <c r="A71" s="1386">
        <v>62</v>
      </c>
      <c r="B71" s="1386">
        <v>21050</v>
      </c>
      <c r="C71" s="1387" t="s">
        <v>499</v>
      </c>
      <c r="D71" s="805">
        <f t="shared" si="1"/>
        <v>20658</v>
      </c>
      <c r="E71" s="805"/>
      <c r="F71" s="805"/>
      <c r="G71" s="805">
        <v>20658</v>
      </c>
      <c r="H71" s="805"/>
      <c r="I71" s="805">
        <f t="shared" si="2"/>
        <v>0</v>
      </c>
      <c r="J71" s="805"/>
      <c r="K71" s="805"/>
    </row>
    <row r="72" spans="1:11" x14ac:dyDescent="0.25">
      <c r="A72" s="1386">
        <v>63</v>
      </c>
      <c r="B72" s="1386">
        <v>21060</v>
      </c>
      <c r="C72" s="1387" t="s">
        <v>500</v>
      </c>
      <c r="D72" s="805">
        <f t="shared" si="1"/>
        <v>24108</v>
      </c>
      <c r="E72" s="805"/>
      <c r="F72" s="805"/>
      <c r="G72" s="805">
        <v>24108</v>
      </c>
      <c r="H72" s="805"/>
      <c r="I72" s="805">
        <f t="shared" si="2"/>
        <v>0</v>
      </c>
      <c r="J72" s="805"/>
      <c r="K72" s="805"/>
    </row>
    <row r="73" spans="1:11" x14ac:dyDescent="0.25">
      <c r="A73" s="1386">
        <v>64</v>
      </c>
      <c r="B73" s="1386">
        <v>21070</v>
      </c>
      <c r="C73" s="1387" t="s">
        <v>501</v>
      </c>
      <c r="D73" s="805">
        <f t="shared" si="1"/>
        <v>19442</v>
      </c>
      <c r="E73" s="805"/>
      <c r="F73" s="805"/>
      <c r="G73" s="805">
        <v>19442</v>
      </c>
      <c r="H73" s="805"/>
      <c r="I73" s="805">
        <f t="shared" si="2"/>
        <v>0</v>
      </c>
      <c r="J73" s="805"/>
      <c r="K73" s="805"/>
    </row>
    <row r="74" spans="1:11" x14ac:dyDescent="0.25">
      <c r="A74" s="1386">
        <v>65</v>
      </c>
      <c r="B74" s="1386">
        <v>21080</v>
      </c>
      <c r="C74" s="1387" t="s">
        <v>502</v>
      </c>
      <c r="D74" s="805">
        <f t="shared" si="1"/>
        <v>29014</v>
      </c>
      <c r="E74" s="805"/>
      <c r="F74" s="805"/>
      <c r="G74" s="805">
        <v>29014</v>
      </c>
      <c r="H74" s="805"/>
      <c r="I74" s="805">
        <f t="shared" si="2"/>
        <v>0</v>
      </c>
      <c r="J74" s="805"/>
      <c r="K74" s="805"/>
    </row>
    <row r="75" spans="1:11" x14ac:dyDescent="0.25">
      <c r="A75" s="1386">
        <v>66</v>
      </c>
      <c r="B75" s="1386">
        <v>21160</v>
      </c>
      <c r="C75" s="1387" t="s">
        <v>503</v>
      </c>
      <c r="D75" s="805">
        <f t="shared" ref="D75:D123" si="3">E75+F75+G75+H75+I75</f>
        <v>20290</v>
      </c>
      <c r="E75" s="805"/>
      <c r="F75" s="805"/>
      <c r="G75" s="805">
        <v>20290</v>
      </c>
      <c r="H75" s="805"/>
      <c r="I75" s="805">
        <f t="shared" si="2"/>
        <v>0</v>
      </c>
      <c r="J75" s="805"/>
      <c r="K75" s="805"/>
    </row>
    <row r="76" spans="1:11" x14ac:dyDescent="0.25">
      <c r="A76" s="1386">
        <v>67</v>
      </c>
      <c r="B76" s="1386">
        <v>21310</v>
      </c>
      <c r="C76" s="1387" t="s">
        <v>504</v>
      </c>
      <c r="D76" s="805">
        <f t="shared" si="3"/>
        <v>18367</v>
      </c>
      <c r="E76" s="805"/>
      <c r="F76" s="805"/>
      <c r="G76" s="805">
        <v>18367</v>
      </c>
      <c r="H76" s="805"/>
      <c r="I76" s="805">
        <f t="shared" si="2"/>
        <v>0</v>
      </c>
      <c r="J76" s="805"/>
      <c r="K76" s="805"/>
    </row>
    <row r="77" spans="1:11" ht="24" x14ac:dyDescent="0.25">
      <c r="A77" s="1386">
        <v>68</v>
      </c>
      <c r="B77" s="1386">
        <v>29400</v>
      </c>
      <c r="C77" s="1387" t="s">
        <v>162</v>
      </c>
      <c r="D77" s="805">
        <f t="shared" si="3"/>
        <v>125041</v>
      </c>
      <c r="E77" s="805"/>
      <c r="F77" s="805"/>
      <c r="G77" s="805"/>
      <c r="H77" s="805">
        <v>1919</v>
      </c>
      <c r="I77" s="805">
        <f t="shared" si="2"/>
        <v>123122</v>
      </c>
      <c r="J77" s="805">
        <v>25720</v>
      </c>
      <c r="K77" s="805">
        <v>97402</v>
      </c>
    </row>
    <row r="78" spans="1:11" x14ac:dyDescent="0.25">
      <c r="A78" s="1386">
        <v>69</v>
      </c>
      <c r="B78" s="1386">
        <v>23500</v>
      </c>
      <c r="C78" s="1387" t="s">
        <v>505</v>
      </c>
      <c r="D78" s="805">
        <f t="shared" si="3"/>
        <v>220768</v>
      </c>
      <c r="E78" s="805"/>
      <c r="F78" s="805"/>
      <c r="G78" s="805"/>
      <c r="H78" s="805">
        <v>4215</v>
      </c>
      <c r="I78" s="805">
        <f t="shared" si="2"/>
        <v>216553</v>
      </c>
      <c r="J78" s="805">
        <v>69256</v>
      </c>
      <c r="K78" s="805">
        <v>147297</v>
      </c>
    </row>
    <row r="79" spans="1:11" x14ac:dyDescent="0.25">
      <c r="A79" s="1386">
        <v>70</v>
      </c>
      <c r="B79" s="1386">
        <v>21800</v>
      </c>
      <c r="C79" s="1387" t="s">
        <v>506</v>
      </c>
      <c r="D79" s="805">
        <f t="shared" si="3"/>
        <v>137612</v>
      </c>
      <c r="E79" s="805"/>
      <c r="F79" s="805">
        <v>2643</v>
      </c>
      <c r="G79" s="805"/>
      <c r="H79" s="805">
        <v>5232</v>
      </c>
      <c r="I79" s="805">
        <f t="shared" si="2"/>
        <v>129737</v>
      </c>
      <c r="J79" s="805">
        <v>32122</v>
      </c>
      <c r="K79" s="805">
        <v>97615</v>
      </c>
    </row>
    <row r="80" spans="1:11" x14ac:dyDescent="0.25">
      <c r="A80" s="1386">
        <v>71</v>
      </c>
      <c r="B80" s="1386">
        <v>24200</v>
      </c>
      <c r="C80" s="1387" t="s">
        <v>507</v>
      </c>
      <c r="D80" s="805">
        <f t="shared" si="3"/>
        <v>38155</v>
      </c>
      <c r="E80" s="805"/>
      <c r="F80" s="805"/>
      <c r="G80" s="805"/>
      <c r="H80" s="805"/>
      <c r="I80" s="805">
        <f t="shared" si="2"/>
        <v>38155</v>
      </c>
      <c r="J80" s="805">
        <v>12296</v>
      </c>
      <c r="K80" s="805">
        <v>25859</v>
      </c>
    </row>
    <row r="81" spans="1:11" x14ac:dyDescent="0.25">
      <c r="A81" s="1386">
        <v>72</v>
      </c>
      <c r="B81" s="1386">
        <v>22300</v>
      </c>
      <c r="C81" s="1387" t="s">
        <v>402</v>
      </c>
      <c r="D81" s="805">
        <f t="shared" si="3"/>
        <v>221864</v>
      </c>
      <c r="E81" s="805"/>
      <c r="F81" s="805">
        <v>7748</v>
      </c>
      <c r="G81" s="805"/>
      <c r="H81" s="805"/>
      <c r="I81" s="805">
        <f t="shared" si="2"/>
        <v>214116</v>
      </c>
      <c r="J81" s="805">
        <v>70582</v>
      </c>
      <c r="K81" s="805">
        <v>143534</v>
      </c>
    </row>
    <row r="82" spans="1:11" x14ac:dyDescent="0.25">
      <c r="A82" s="1386">
        <v>73</v>
      </c>
      <c r="B82" s="1386">
        <v>21200</v>
      </c>
      <c r="C82" s="1387" t="s">
        <v>508</v>
      </c>
      <c r="D82" s="805">
        <f t="shared" si="3"/>
        <v>56007</v>
      </c>
      <c r="E82" s="805"/>
      <c r="F82" s="805"/>
      <c r="G82" s="805"/>
      <c r="H82" s="805"/>
      <c r="I82" s="805">
        <f t="shared" si="2"/>
        <v>56007</v>
      </c>
      <c r="J82" s="805">
        <v>11466</v>
      </c>
      <c r="K82" s="805">
        <v>44541</v>
      </c>
    </row>
    <row r="83" spans="1:11" x14ac:dyDescent="0.25">
      <c r="A83" s="1386">
        <v>74</v>
      </c>
      <c r="B83" s="1386">
        <v>28000</v>
      </c>
      <c r="C83" s="1387" t="s">
        <v>509</v>
      </c>
      <c r="D83" s="805">
        <f t="shared" si="3"/>
        <v>158361</v>
      </c>
      <c r="E83" s="805"/>
      <c r="F83" s="805"/>
      <c r="G83" s="805"/>
      <c r="H83" s="805"/>
      <c r="I83" s="805">
        <f t="shared" si="2"/>
        <v>158361</v>
      </c>
      <c r="J83" s="805">
        <v>41996</v>
      </c>
      <c r="K83" s="805">
        <v>116365</v>
      </c>
    </row>
    <row r="84" spans="1:11" x14ac:dyDescent="0.25">
      <c r="A84" s="1386">
        <v>75</v>
      </c>
      <c r="B84" s="1386">
        <v>23200</v>
      </c>
      <c r="C84" s="1387" t="s">
        <v>819</v>
      </c>
      <c r="D84" s="805">
        <f t="shared" si="3"/>
        <v>33171</v>
      </c>
      <c r="E84" s="805"/>
      <c r="F84" s="805"/>
      <c r="G84" s="805">
        <v>33171</v>
      </c>
      <c r="H84" s="805"/>
      <c r="I84" s="805">
        <f t="shared" si="2"/>
        <v>0</v>
      </c>
      <c r="J84" s="805"/>
      <c r="K84" s="805"/>
    </row>
    <row r="85" spans="1:11" ht="24" x14ac:dyDescent="0.25">
      <c r="A85" s="1388">
        <v>76</v>
      </c>
      <c r="B85" s="1388">
        <v>22800</v>
      </c>
      <c r="C85" s="1389" t="s">
        <v>467</v>
      </c>
      <c r="D85" s="805">
        <f t="shared" si="3"/>
        <v>40550</v>
      </c>
      <c r="E85" s="805"/>
      <c r="F85" s="805"/>
      <c r="G85" s="805">
        <v>29161</v>
      </c>
      <c r="H85" s="805"/>
      <c r="I85" s="805">
        <f t="shared" si="2"/>
        <v>11389</v>
      </c>
      <c r="J85" s="805">
        <v>2047</v>
      </c>
      <c r="K85" s="805">
        <v>9342</v>
      </c>
    </row>
    <row r="86" spans="1:11" ht="36" x14ac:dyDescent="0.25">
      <c r="A86" s="1388"/>
      <c r="B86" s="1388"/>
      <c r="C86" s="1387" t="s">
        <v>468</v>
      </c>
      <c r="D86" s="805">
        <f t="shared" si="3"/>
        <v>11389</v>
      </c>
      <c r="E86" s="805"/>
      <c r="F86" s="805"/>
      <c r="G86" s="805"/>
      <c r="H86" s="805"/>
      <c r="I86" s="805">
        <f t="shared" si="2"/>
        <v>11389</v>
      </c>
      <c r="J86" s="805">
        <v>2047</v>
      </c>
      <c r="K86" s="805">
        <v>9342</v>
      </c>
    </row>
    <row r="87" spans="1:11" ht="24" x14ac:dyDescent="0.25">
      <c r="A87" s="1388"/>
      <c r="B87" s="1388"/>
      <c r="C87" s="1387" t="s">
        <v>180</v>
      </c>
      <c r="D87" s="805">
        <f t="shared" si="3"/>
        <v>4470</v>
      </c>
      <c r="E87" s="805"/>
      <c r="F87" s="805"/>
      <c r="G87" s="805">
        <v>4470</v>
      </c>
      <c r="H87" s="805"/>
      <c r="I87" s="805">
        <f t="shared" si="2"/>
        <v>0</v>
      </c>
      <c r="J87" s="805"/>
      <c r="K87" s="805"/>
    </row>
    <row r="88" spans="1:11" ht="48" x14ac:dyDescent="0.25">
      <c r="A88" s="1388"/>
      <c r="B88" s="1388"/>
      <c r="C88" s="1387" t="s">
        <v>510</v>
      </c>
      <c r="D88" s="805">
        <f t="shared" si="3"/>
        <v>24691</v>
      </c>
      <c r="E88" s="805"/>
      <c r="F88" s="805"/>
      <c r="G88" s="805">
        <v>24691</v>
      </c>
      <c r="H88" s="805"/>
      <c r="I88" s="805">
        <f t="shared" si="2"/>
        <v>0</v>
      </c>
      <c r="J88" s="805"/>
      <c r="K88" s="805"/>
    </row>
    <row r="89" spans="1:11" x14ac:dyDescent="0.25">
      <c r="A89" s="1386">
        <v>77</v>
      </c>
      <c r="B89" s="1386">
        <v>25000</v>
      </c>
      <c r="C89" s="1387" t="s">
        <v>511</v>
      </c>
      <c r="D89" s="805">
        <f t="shared" si="3"/>
        <v>1341</v>
      </c>
      <c r="E89" s="805"/>
      <c r="F89" s="805"/>
      <c r="G89" s="805">
        <v>1341</v>
      </c>
      <c r="H89" s="805"/>
      <c r="I89" s="805">
        <f t="shared" si="2"/>
        <v>0</v>
      </c>
      <c r="J89" s="805"/>
      <c r="K89" s="805"/>
    </row>
    <row r="90" spans="1:11" x14ac:dyDescent="0.25">
      <c r="A90" s="1386">
        <v>78</v>
      </c>
      <c r="B90" s="1386">
        <v>20171</v>
      </c>
      <c r="C90" s="1387" t="s">
        <v>465</v>
      </c>
      <c r="D90" s="805">
        <f t="shared" si="3"/>
        <v>9228</v>
      </c>
      <c r="E90" s="805"/>
      <c r="F90" s="805"/>
      <c r="G90" s="805"/>
      <c r="H90" s="805"/>
      <c r="I90" s="805">
        <f t="shared" si="2"/>
        <v>9228</v>
      </c>
      <c r="J90" s="805">
        <v>2055</v>
      </c>
      <c r="K90" s="805">
        <v>7173</v>
      </c>
    </row>
    <row r="91" spans="1:11" ht="24" x14ac:dyDescent="0.25">
      <c r="A91" s="1386">
        <v>79</v>
      </c>
      <c r="B91" s="1386">
        <v>22117</v>
      </c>
      <c r="C91" s="1387" t="s">
        <v>512</v>
      </c>
      <c r="D91" s="805">
        <f t="shared" si="3"/>
        <v>37069</v>
      </c>
      <c r="E91" s="805"/>
      <c r="F91" s="805"/>
      <c r="G91" s="805"/>
      <c r="H91" s="805"/>
      <c r="I91" s="805">
        <f t="shared" si="2"/>
        <v>37069</v>
      </c>
      <c r="J91" s="805">
        <v>7804</v>
      </c>
      <c r="K91" s="805">
        <v>29265</v>
      </c>
    </row>
    <row r="92" spans="1:11" x14ac:dyDescent="0.25">
      <c r="A92" s="1386">
        <v>80</v>
      </c>
      <c r="B92" s="1386">
        <v>22204</v>
      </c>
      <c r="C92" s="1387" t="s">
        <v>188</v>
      </c>
      <c r="D92" s="805">
        <f t="shared" si="3"/>
        <v>29434</v>
      </c>
      <c r="E92" s="805"/>
      <c r="F92" s="805"/>
      <c r="G92" s="805"/>
      <c r="H92" s="805"/>
      <c r="I92" s="805">
        <f t="shared" si="2"/>
        <v>29434</v>
      </c>
      <c r="J92" s="805">
        <v>9575</v>
      </c>
      <c r="K92" s="805">
        <v>19859</v>
      </c>
    </row>
    <row r="93" spans="1:11" x14ac:dyDescent="0.25">
      <c r="A93" s="1386">
        <v>81</v>
      </c>
      <c r="B93" s="1386">
        <v>26005</v>
      </c>
      <c r="C93" s="1387" t="s">
        <v>190</v>
      </c>
      <c r="D93" s="805">
        <f t="shared" si="3"/>
        <v>29948</v>
      </c>
      <c r="E93" s="805"/>
      <c r="F93" s="805"/>
      <c r="G93" s="805"/>
      <c r="H93" s="805"/>
      <c r="I93" s="805">
        <f t="shared" si="2"/>
        <v>29948</v>
      </c>
      <c r="J93" s="805">
        <v>9301</v>
      </c>
      <c r="K93" s="805">
        <v>20647</v>
      </c>
    </row>
    <row r="94" spans="1:11" x14ac:dyDescent="0.25">
      <c r="A94" s="1386">
        <v>82</v>
      </c>
      <c r="B94" s="1386">
        <v>22202</v>
      </c>
      <c r="C94" s="1387" t="s">
        <v>192</v>
      </c>
      <c r="D94" s="805">
        <f t="shared" si="3"/>
        <v>84090</v>
      </c>
      <c r="E94" s="805"/>
      <c r="F94" s="805"/>
      <c r="G94" s="805"/>
      <c r="H94" s="805"/>
      <c r="I94" s="805">
        <f t="shared" si="2"/>
        <v>84090</v>
      </c>
      <c r="J94" s="805">
        <v>22492</v>
      </c>
      <c r="K94" s="805">
        <v>61598</v>
      </c>
    </row>
    <row r="95" spans="1:11" ht="24" x14ac:dyDescent="0.25">
      <c r="A95" s="1386">
        <v>83</v>
      </c>
      <c r="B95" s="1386">
        <v>26002</v>
      </c>
      <c r="C95" s="1387" t="s">
        <v>194</v>
      </c>
      <c r="D95" s="805">
        <f t="shared" si="3"/>
        <v>35436</v>
      </c>
      <c r="E95" s="805"/>
      <c r="F95" s="805"/>
      <c r="G95" s="805"/>
      <c r="H95" s="805"/>
      <c r="I95" s="805">
        <f t="shared" si="2"/>
        <v>35436</v>
      </c>
      <c r="J95" s="805">
        <v>9056</v>
      </c>
      <c r="K95" s="805">
        <v>26380</v>
      </c>
    </row>
    <row r="96" spans="1:11" x14ac:dyDescent="0.25">
      <c r="A96" s="1386">
        <v>84</v>
      </c>
      <c r="B96" s="1386">
        <v>22002</v>
      </c>
      <c r="C96" s="1387" t="s">
        <v>196</v>
      </c>
      <c r="D96" s="805">
        <f t="shared" si="3"/>
        <v>43751</v>
      </c>
      <c r="E96" s="805"/>
      <c r="F96" s="805"/>
      <c r="G96" s="805"/>
      <c r="H96" s="805"/>
      <c r="I96" s="805">
        <f t="shared" si="2"/>
        <v>43751</v>
      </c>
      <c r="J96" s="805">
        <v>12994</v>
      </c>
      <c r="K96" s="805">
        <v>30757</v>
      </c>
    </row>
    <row r="97" spans="1:11" x14ac:dyDescent="0.25">
      <c r="A97" s="1386">
        <v>85</v>
      </c>
      <c r="B97" s="1386">
        <v>22201</v>
      </c>
      <c r="C97" s="1387" t="s">
        <v>198</v>
      </c>
      <c r="D97" s="805">
        <f t="shared" si="3"/>
        <v>100017</v>
      </c>
      <c r="E97" s="805"/>
      <c r="F97" s="805"/>
      <c r="G97" s="805"/>
      <c r="H97" s="805"/>
      <c r="I97" s="805">
        <f t="shared" ref="I97:I123" si="4">J97+K97</f>
        <v>100017</v>
      </c>
      <c r="J97" s="805">
        <v>28778</v>
      </c>
      <c r="K97" s="805">
        <v>71239</v>
      </c>
    </row>
    <row r="98" spans="1:11" x14ac:dyDescent="0.25">
      <c r="A98" s="1386">
        <v>86</v>
      </c>
      <c r="B98" s="1386">
        <v>22205</v>
      </c>
      <c r="C98" s="1387" t="s">
        <v>200</v>
      </c>
      <c r="D98" s="805">
        <f t="shared" si="3"/>
        <v>78782</v>
      </c>
      <c r="E98" s="805"/>
      <c r="F98" s="805"/>
      <c r="G98" s="805"/>
      <c r="H98" s="805"/>
      <c r="I98" s="805">
        <f t="shared" si="4"/>
        <v>78782</v>
      </c>
      <c r="J98" s="805">
        <v>17804</v>
      </c>
      <c r="K98" s="805">
        <v>60978</v>
      </c>
    </row>
    <row r="99" spans="1:11" x14ac:dyDescent="0.25">
      <c r="A99" s="1386">
        <v>87</v>
      </c>
      <c r="B99" s="1386">
        <v>26004</v>
      </c>
      <c r="C99" s="1387" t="s">
        <v>202</v>
      </c>
      <c r="D99" s="805">
        <f t="shared" si="3"/>
        <v>27318</v>
      </c>
      <c r="E99" s="805"/>
      <c r="F99" s="805"/>
      <c r="G99" s="805"/>
      <c r="H99" s="805"/>
      <c r="I99" s="805">
        <f t="shared" si="4"/>
        <v>27318</v>
      </c>
      <c r="J99" s="805">
        <v>8242</v>
      </c>
      <c r="K99" s="805">
        <v>19076</v>
      </c>
    </row>
    <row r="100" spans="1:11" x14ac:dyDescent="0.25">
      <c r="A100" s="1386">
        <v>88</v>
      </c>
      <c r="B100" s="1386">
        <v>22208</v>
      </c>
      <c r="C100" s="1387" t="s">
        <v>204</v>
      </c>
      <c r="D100" s="805">
        <f t="shared" si="3"/>
        <v>42079</v>
      </c>
      <c r="E100" s="805"/>
      <c r="F100" s="805"/>
      <c r="G100" s="805"/>
      <c r="H100" s="805"/>
      <c r="I100" s="805">
        <f t="shared" si="4"/>
        <v>42079</v>
      </c>
      <c r="J100" s="805">
        <v>9013</v>
      </c>
      <c r="K100" s="805">
        <v>33066</v>
      </c>
    </row>
    <row r="101" spans="1:11" x14ac:dyDescent="0.25">
      <c r="A101" s="1386">
        <v>89</v>
      </c>
      <c r="B101" s="1386">
        <v>26003</v>
      </c>
      <c r="C101" s="1387" t="s">
        <v>206</v>
      </c>
      <c r="D101" s="805">
        <f t="shared" si="3"/>
        <v>41049</v>
      </c>
      <c r="E101" s="805"/>
      <c r="F101" s="805"/>
      <c r="G101" s="805"/>
      <c r="H101" s="805"/>
      <c r="I101" s="805">
        <f t="shared" si="4"/>
        <v>41049</v>
      </c>
      <c r="J101" s="805">
        <v>12119</v>
      </c>
      <c r="K101" s="805">
        <v>28930</v>
      </c>
    </row>
    <row r="102" spans="1:11" x14ac:dyDescent="0.25">
      <c r="A102" s="1386">
        <v>90</v>
      </c>
      <c r="B102" s="1386">
        <v>26001</v>
      </c>
      <c r="C102" s="1387" t="s">
        <v>208</v>
      </c>
      <c r="D102" s="805">
        <f t="shared" si="3"/>
        <v>50798</v>
      </c>
      <c r="E102" s="805"/>
      <c r="F102" s="805">
        <v>2468</v>
      </c>
      <c r="G102" s="805"/>
      <c r="H102" s="805"/>
      <c r="I102" s="805">
        <f t="shared" si="4"/>
        <v>48330</v>
      </c>
      <c r="J102" s="805">
        <v>10246</v>
      </c>
      <c r="K102" s="805">
        <v>38084</v>
      </c>
    </row>
    <row r="103" spans="1:11" x14ac:dyDescent="0.25">
      <c r="A103" s="1386">
        <v>91</v>
      </c>
      <c r="B103" s="1386">
        <v>22203</v>
      </c>
      <c r="C103" s="1387" t="s">
        <v>210</v>
      </c>
      <c r="D103" s="805">
        <f t="shared" si="3"/>
        <v>31836</v>
      </c>
      <c r="E103" s="805"/>
      <c r="F103" s="805"/>
      <c r="G103" s="805"/>
      <c r="H103" s="805"/>
      <c r="I103" s="805">
        <f t="shared" si="4"/>
        <v>31836</v>
      </c>
      <c r="J103" s="805">
        <v>9034</v>
      </c>
      <c r="K103" s="805">
        <v>22802</v>
      </c>
    </row>
    <row r="104" spans="1:11" x14ac:dyDescent="0.25">
      <c r="A104" s="1386">
        <v>92</v>
      </c>
      <c r="B104" s="1386">
        <v>27002</v>
      </c>
      <c r="C104" s="1387" t="s">
        <v>212</v>
      </c>
      <c r="D104" s="805">
        <f t="shared" si="3"/>
        <v>45767</v>
      </c>
      <c r="E104" s="805"/>
      <c r="F104" s="805"/>
      <c r="G104" s="805"/>
      <c r="H104" s="805"/>
      <c r="I104" s="805">
        <f t="shared" si="4"/>
        <v>45767</v>
      </c>
      <c r="J104" s="805">
        <v>11439</v>
      </c>
      <c r="K104" s="805">
        <v>34328</v>
      </c>
    </row>
    <row r="105" spans="1:11" x14ac:dyDescent="0.25">
      <c r="A105" s="1386">
        <v>93</v>
      </c>
      <c r="B105" s="1386">
        <v>22000</v>
      </c>
      <c r="C105" s="1387" t="s">
        <v>214</v>
      </c>
      <c r="D105" s="805">
        <f t="shared" si="3"/>
        <v>80150</v>
      </c>
      <c r="E105" s="805"/>
      <c r="F105" s="805"/>
      <c r="G105" s="805"/>
      <c r="H105" s="805"/>
      <c r="I105" s="805">
        <f t="shared" si="4"/>
        <v>80150</v>
      </c>
      <c r="J105" s="805">
        <v>21210</v>
      </c>
      <c r="K105" s="805">
        <v>58940</v>
      </c>
    </row>
    <row r="106" spans="1:11" x14ac:dyDescent="0.25">
      <c r="A106" s="1386">
        <v>94</v>
      </c>
      <c r="B106" s="1386">
        <v>22003</v>
      </c>
      <c r="C106" s="1387" t="s">
        <v>216</v>
      </c>
      <c r="D106" s="805">
        <f t="shared" si="3"/>
        <v>36460</v>
      </c>
      <c r="E106" s="805"/>
      <c r="F106" s="805"/>
      <c r="G106" s="805"/>
      <c r="H106" s="805"/>
      <c r="I106" s="805">
        <f t="shared" si="4"/>
        <v>36460</v>
      </c>
      <c r="J106" s="805">
        <v>9649</v>
      </c>
      <c r="K106" s="805">
        <v>26811</v>
      </c>
    </row>
    <row r="107" spans="1:11" x14ac:dyDescent="0.25">
      <c r="A107" s="1386">
        <v>95</v>
      </c>
      <c r="B107" s="1386">
        <v>20251</v>
      </c>
      <c r="C107" s="1387" t="s">
        <v>513</v>
      </c>
      <c r="D107" s="805">
        <f t="shared" si="3"/>
        <v>2387</v>
      </c>
      <c r="E107" s="805"/>
      <c r="F107" s="805"/>
      <c r="G107" s="805">
        <f>2319+68</f>
        <v>2387</v>
      </c>
      <c r="H107" s="805"/>
      <c r="I107" s="805">
        <f t="shared" si="4"/>
        <v>0</v>
      </c>
      <c r="J107" s="805"/>
      <c r="K107" s="805"/>
    </row>
    <row r="108" spans="1:11" x14ac:dyDescent="0.25">
      <c r="A108" s="1386">
        <v>96</v>
      </c>
      <c r="B108" s="1386">
        <v>20260</v>
      </c>
      <c r="C108" s="1387" t="s">
        <v>514</v>
      </c>
      <c r="D108" s="805">
        <f t="shared" si="3"/>
        <v>340</v>
      </c>
      <c r="E108" s="805"/>
      <c r="F108" s="805"/>
      <c r="G108" s="805">
        <v>340</v>
      </c>
      <c r="H108" s="805"/>
      <c r="I108" s="805">
        <f t="shared" si="4"/>
        <v>0</v>
      </c>
      <c r="J108" s="805"/>
      <c r="K108" s="805"/>
    </row>
    <row r="109" spans="1:11" x14ac:dyDescent="0.25">
      <c r="A109" s="1386">
        <v>97</v>
      </c>
      <c r="B109" s="1386">
        <v>20235</v>
      </c>
      <c r="C109" s="1387" t="s">
        <v>515</v>
      </c>
      <c r="D109" s="805">
        <f t="shared" si="3"/>
        <v>28</v>
      </c>
      <c r="E109" s="805"/>
      <c r="F109" s="805"/>
      <c r="G109" s="805">
        <v>28</v>
      </c>
      <c r="H109" s="805"/>
      <c r="I109" s="805">
        <f t="shared" si="4"/>
        <v>0</v>
      </c>
      <c r="J109" s="805"/>
      <c r="K109" s="805"/>
    </row>
    <row r="110" spans="1:11" x14ac:dyDescent="0.25">
      <c r="A110" s="1386">
        <v>98</v>
      </c>
      <c r="B110" s="1386">
        <v>29140</v>
      </c>
      <c r="C110" s="1387" t="s">
        <v>516</v>
      </c>
      <c r="D110" s="805">
        <f t="shared" si="3"/>
        <v>8698</v>
      </c>
      <c r="E110" s="805"/>
      <c r="F110" s="805"/>
      <c r="G110" s="805">
        <f>8685+13</f>
        <v>8698</v>
      </c>
      <c r="H110" s="805"/>
      <c r="I110" s="805">
        <f t="shared" si="4"/>
        <v>0</v>
      </c>
      <c r="J110" s="805"/>
      <c r="K110" s="805"/>
    </row>
    <row r="111" spans="1:11" x14ac:dyDescent="0.25">
      <c r="A111" s="1386">
        <v>99</v>
      </c>
      <c r="B111" s="1386">
        <v>20157</v>
      </c>
      <c r="C111" s="1387" t="s">
        <v>517</v>
      </c>
      <c r="D111" s="805">
        <f t="shared" si="3"/>
        <v>16</v>
      </c>
      <c r="E111" s="805"/>
      <c r="F111" s="805"/>
      <c r="G111" s="805">
        <v>16</v>
      </c>
      <c r="H111" s="805"/>
      <c r="I111" s="805">
        <f t="shared" si="4"/>
        <v>0</v>
      </c>
      <c r="J111" s="805"/>
      <c r="K111" s="805"/>
    </row>
    <row r="112" spans="1:11" x14ac:dyDescent="0.25">
      <c r="A112" s="1386">
        <v>100</v>
      </c>
      <c r="B112" s="1386">
        <v>20172</v>
      </c>
      <c r="C112" s="1387" t="s">
        <v>518</v>
      </c>
      <c r="D112" s="805">
        <f t="shared" si="3"/>
        <v>68</v>
      </c>
      <c r="E112" s="805"/>
      <c r="F112" s="805"/>
      <c r="G112" s="805">
        <v>68</v>
      </c>
      <c r="H112" s="805"/>
      <c r="I112" s="805">
        <f t="shared" si="4"/>
        <v>0</v>
      </c>
      <c r="J112" s="805"/>
      <c r="K112" s="805"/>
    </row>
    <row r="113" spans="1:11" x14ac:dyDescent="0.25">
      <c r="A113" s="1386">
        <v>101</v>
      </c>
      <c r="B113" s="1386">
        <v>20165</v>
      </c>
      <c r="C113" s="1387" t="s">
        <v>519</v>
      </c>
      <c r="D113" s="805">
        <f t="shared" si="3"/>
        <v>410</v>
      </c>
      <c r="E113" s="805"/>
      <c r="F113" s="805"/>
      <c r="G113" s="805">
        <f>390+20</f>
        <v>410</v>
      </c>
      <c r="H113" s="805"/>
      <c r="I113" s="805">
        <f t="shared" si="4"/>
        <v>0</v>
      </c>
      <c r="J113" s="805"/>
      <c r="K113" s="805"/>
    </row>
    <row r="114" spans="1:11" x14ac:dyDescent="0.25">
      <c r="A114" s="1386">
        <v>102</v>
      </c>
      <c r="B114" s="1386">
        <v>20161</v>
      </c>
      <c r="C114" s="1387" t="s">
        <v>520</v>
      </c>
      <c r="D114" s="805">
        <f t="shared" si="3"/>
        <v>2882</v>
      </c>
      <c r="E114" s="805"/>
      <c r="F114" s="805"/>
      <c r="G114" s="805">
        <f>2851+31</f>
        <v>2882</v>
      </c>
      <c r="H114" s="805"/>
      <c r="I114" s="805">
        <f t="shared" si="4"/>
        <v>0</v>
      </c>
      <c r="J114" s="805"/>
      <c r="K114" s="805"/>
    </row>
    <row r="115" spans="1:11" x14ac:dyDescent="0.25">
      <c r="A115" s="1386">
        <v>103</v>
      </c>
      <c r="B115" s="1386">
        <v>22120</v>
      </c>
      <c r="C115" s="1387" t="s">
        <v>521</v>
      </c>
      <c r="D115" s="805">
        <f t="shared" si="3"/>
        <v>12</v>
      </c>
      <c r="E115" s="805"/>
      <c r="F115" s="805"/>
      <c r="G115" s="805">
        <v>12</v>
      </c>
      <c r="H115" s="805"/>
      <c r="I115" s="805">
        <f t="shared" si="4"/>
        <v>0</v>
      </c>
      <c r="J115" s="805"/>
      <c r="K115" s="805"/>
    </row>
    <row r="116" spans="1:11" x14ac:dyDescent="0.25">
      <c r="A116" s="1386">
        <v>104</v>
      </c>
      <c r="B116" s="1386">
        <v>22113</v>
      </c>
      <c r="C116" s="1387" t="s">
        <v>265</v>
      </c>
      <c r="D116" s="805">
        <f t="shared" si="3"/>
        <v>5957</v>
      </c>
      <c r="E116" s="805"/>
      <c r="F116" s="805"/>
      <c r="G116" s="805">
        <v>204</v>
      </c>
      <c r="H116" s="805">
        <v>5753</v>
      </c>
      <c r="I116" s="805">
        <f t="shared" si="4"/>
        <v>0</v>
      </c>
      <c r="J116" s="805"/>
      <c r="K116" s="805"/>
    </row>
    <row r="117" spans="1:11" x14ac:dyDescent="0.25">
      <c r="A117" s="1386">
        <v>105</v>
      </c>
      <c r="B117" s="1386">
        <v>22112</v>
      </c>
      <c r="C117" s="1387" t="s">
        <v>522</v>
      </c>
      <c r="D117" s="805">
        <f t="shared" si="3"/>
        <v>54613</v>
      </c>
      <c r="E117" s="805"/>
      <c r="F117" s="805"/>
      <c r="G117" s="805">
        <v>54613</v>
      </c>
      <c r="H117" s="805"/>
      <c r="I117" s="805">
        <f t="shared" si="4"/>
        <v>0</v>
      </c>
      <c r="J117" s="805"/>
      <c r="K117" s="805"/>
    </row>
    <row r="118" spans="1:11" x14ac:dyDescent="0.25">
      <c r="A118" s="1386">
        <v>106</v>
      </c>
      <c r="B118" s="1386">
        <v>26000</v>
      </c>
      <c r="C118" s="1387" t="s">
        <v>269</v>
      </c>
      <c r="D118" s="805">
        <f t="shared" si="3"/>
        <v>34462</v>
      </c>
      <c r="E118" s="805"/>
      <c r="F118" s="805"/>
      <c r="G118" s="805">
        <v>34462</v>
      </c>
      <c r="H118" s="805"/>
      <c r="I118" s="805">
        <f t="shared" si="4"/>
        <v>0</v>
      </c>
      <c r="J118" s="805"/>
      <c r="K118" s="805"/>
    </row>
    <row r="119" spans="1:11" x14ac:dyDescent="0.25">
      <c r="A119" s="1386">
        <v>107</v>
      </c>
      <c r="B119" s="1386">
        <v>22720</v>
      </c>
      <c r="C119" s="1387" t="s">
        <v>523</v>
      </c>
      <c r="D119" s="805">
        <f t="shared" si="3"/>
        <v>206370</v>
      </c>
      <c r="E119" s="805"/>
      <c r="F119" s="805">
        <f>4672+731</f>
        <v>5403</v>
      </c>
      <c r="G119" s="805"/>
      <c r="H119" s="805">
        <f>8394-731</f>
        <v>7663</v>
      </c>
      <c r="I119" s="805">
        <f t="shared" si="4"/>
        <v>193304</v>
      </c>
      <c r="J119" s="805">
        <v>42515</v>
      </c>
      <c r="K119" s="805">
        <v>150789</v>
      </c>
    </row>
    <row r="120" spans="1:11" x14ac:dyDescent="0.25">
      <c r="A120" s="1386">
        <v>108</v>
      </c>
      <c r="B120" s="1386">
        <v>22400</v>
      </c>
      <c r="C120" s="1387" t="s">
        <v>277</v>
      </c>
      <c r="D120" s="805">
        <f t="shared" si="3"/>
        <v>82283</v>
      </c>
      <c r="E120" s="805"/>
      <c r="F120" s="805"/>
      <c r="G120" s="805"/>
      <c r="H120" s="805"/>
      <c r="I120" s="805">
        <f t="shared" si="4"/>
        <v>82283</v>
      </c>
      <c r="J120" s="805">
        <v>28920</v>
      </c>
      <c r="K120" s="805">
        <v>53363</v>
      </c>
    </row>
    <row r="121" spans="1:11" x14ac:dyDescent="0.25">
      <c r="A121" s="1386">
        <v>109</v>
      </c>
      <c r="B121" s="1386">
        <v>22121</v>
      </c>
      <c r="C121" s="1387" t="s">
        <v>283</v>
      </c>
      <c r="D121" s="805">
        <f t="shared" si="3"/>
        <v>19686</v>
      </c>
      <c r="E121" s="805"/>
      <c r="F121" s="805"/>
      <c r="G121" s="805">
        <v>19686</v>
      </c>
      <c r="H121" s="805"/>
      <c r="I121" s="805">
        <f t="shared" si="4"/>
        <v>0</v>
      </c>
      <c r="J121" s="805"/>
      <c r="K121" s="805"/>
    </row>
    <row r="122" spans="1:11" ht="24" x14ac:dyDescent="0.25">
      <c r="A122" s="1390"/>
      <c r="B122" s="1390"/>
      <c r="C122" s="1387" t="s">
        <v>14</v>
      </c>
      <c r="D122" s="805">
        <f t="shared" si="3"/>
        <v>4013</v>
      </c>
      <c r="E122" s="805"/>
      <c r="F122" s="805"/>
      <c r="G122" s="805">
        <v>4013</v>
      </c>
      <c r="H122" s="805"/>
      <c r="I122" s="805">
        <f t="shared" si="4"/>
        <v>0</v>
      </c>
      <c r="J122" s="805"/>
      <c r="K122" s="805"/>
    </row>
    <row r="123" spans="1:11" x14ac:dyDescent="0.25">
      <c r="A123" s="1386"/>
      <c r="B123" s="1386"/>
      <c r="C123" s="1387" t="s">
        <v>524</v>
      </c>
      <c r="D123" s="805">
        <f t="shared" si="3"/>
        <v>1165</v>
      </c>
      <c r="E123" s="805"/>
      <c r="F123" s="805"/>
      <c r="G123" s="805">
        <f>1297-132</f>
        <v>1165</v>
      </c>
      <c r="H123" s="805"/>
      <c r="I123" s="805">
        <f t="shared" si="4"/>
        <v>0</v>
      </c>
      <c r="J123" s="805"/>
      <c r="K123" s="805"/>
    </row>
    <row r="124" spans="1:11" x14ac:dyDescent="0.25">
      <c r="A124" s="1391" t="s">
        <v>470</v>
      </c>
      <c r="B124" s="1391"/>
      <c r="C124" s="1391"/>
      <c r="D124" s="1392">
        <f>SUM(D10:D123)-D85</f>
        <v>7000946</v>
      </c>
      <c r="E124" s="1392">
        <f t="shared" ref="E124:K124" si="5">SUM(E10:E123)-E85</f>
        <v>14522</v>
      </c>
      <c r="F124" s="1392">
        <f t="shared" si="5"/>
        <v>67179</v>
      </c>
      <c r="G124" s="1392">
        <f t="shared" si="5"/>
        <v>468997</v>
      </c>
      <c r="H124" s="1392">
        <f t="shared" si="5"/>
        <v>41361</v>
      </c>
      <c r="I124" s="1392">
        <f t="shared" si="5"/>
        <v>6408887</v>
      </c>
      <c r="J124" s="1392">
        <f t="shared" si="5"/>
        <v>1778302</v>
      </c>
      <c r="K124" s="1392">
        <f t="shared" si="5"/>
        <v>4630585</v>
      </c>
    </row>
    <row r="128" spans="1:11" x14ac:dyDescent="0.25">
      <c r="D128" s="815"/>
      <c r="F128" s="815"/>
      <c r="H128" s="815"/>
      <c r="I128" s="815"/>
      <c r="J128" s="815"/>
      <c r="K128" s="815"/>
    </row>
  </sheetData>
  <mergeCells count="17">
    <mergeCell ref="E5:E8"/>
    <mergeCell ref="F5:F8"/>
    <mergeCell ref="G5:G8"/>
    <mergeCell ref="H5:H8"/>
    <mergeCell ref="I5:K5"/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BA39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L13" sqref="L13"/>
    </sheetView>
  </sheetViews>
  <sheetFormatPr defaultRowHeight="15" x14ac:dyDescent="0.25"/>
  <cols>
    <col min="1" max="1" width="5.42578125" style="806" customWidth="1"/>
    <col min="2" max="2" width="7.140625" style="806" customWidth="1"/>
    <col min="3" max="3" width="22.5703125" style="806" customWidth="1"/>
    <col min="4" max="4" width="7.42578125" style="806" customWidth="1"/>
    <col min="5" max="8" width="7.85546875" style="806" customWidth="1"/>
    <col min="9" max="10" width="7.7109375" style="806" customWidth="1"/>
    <col min="11" max="12" width="7.140625" style="806" customWidth="1"/>
    <col min="13" max="14" width="7.85546875" style="806" customWidth="1"/>
    <col min="15" max="16" width="7.7109375" style="806" customWidth="1"/>
    <col min="17" max="20" width="7.42578125" style="806" customWidth="1"/>
    <col min="21" max="21" width="6.28515625" style="806" customWidth="1"/>
    <col min="22" max="23" width="7.7109375" style="806" customWidth="1"/>
    <col min="24" max="25" width="7.28515625" style="806" customWidth="1"/>
    <col min="26" max="27" width="6.5703125" style="806" customWidth="1"/>
    <col min="28" max="29" width="7.140625" style="806" customWidth="1"/>
    <col min="30" max="37" width="8" style="806" customWidth="1"/>
    <col min="38" max="38" width="6.42578125" style="806" customWidth="1"/>
    <col min="39" max="52" width="7.85546875" style="806" customWidth="1"/>
    <col min="53" max="16384" width="9.140625" style="806"/>
  </cols>
  <sheetData>
    <row r="2" spans="1:53" ht="30.75" customHeight="1" x14ac:dyDescent="0.25">
      <c r="A2" s="1156" t="s">
        <v>525</v>
      </c>
      <c r="B2" s="1156"/>
      <c r="C2" s="1156"/>
      <c r="D2" s="1156"/>
      <c r="E2" s="1156"/>
      <c r="F2" s="1156"/>
      <c r="G2" s="1156"/>
      <c r="H2" s="1156"/>
      <c r="I2" s="1156"/>
      <c r="J2" s="1156"/>
      <c r="K2" s="1156"/>
      <c r="L2" s="1156"/>
      <c r="M2" s="1156"/>
      <c r="N2" s="1156"/>
      <c r="O2" s="1156"/>
      <c r="P2" s="1156"/>
      <c r="Q2" s="1156"/>
      <c r="R2" s="1156"/>
      <c r="S2" s="929"/>
      <c r="T2" s="929"/>
    </row>
    <row r="4" spans="1:53" x14ac:dyDescent="0.25">
      <c r="A4" s="1149" t="s">
        <v>0</v>
      </c>
      <c r="B4" s="1149" t="s">
        <v>302</v>
      </c>
      <c r="C4" s="1151" t="s">
        <v>2</v>
      </c>
      <c r="D4" s="1153" t="s">
        <v>444</v>
      </c>
      <c r="E4" s="1154"/>
      <c r="F4" s="1154"/>
      <c r="G4" s="1154"/>
      <c r="H4" s="1154"/>
      <c r="I4" s="1154"/>
      <c r="J4" s="1154"/>
      <c r="K4" s="1154"/>
      <c r="L4" s="1154"/>
      <c r="M4" s="1154"/>
      <c r="N4" s="1154"/>
      <c r="O4" s="1154"/>
      <c r="P4" s="1154"/>
      <c r="Q4" s="1154"/>
      <c r="R4" s="1154"/>
      <c r="S4" s="1154"/>
      <c r="T4" s="1155"/>
      <c r="U4" s="1153" t="s">
        <v>526</v>
      </c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5"/>
      <c r="AL4" s="1151" t="s">
        <v>527</v>
      </c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</row>
    <row r="5" spans="1:53" ht="45" customHeight="1" x14ac:dyDescent="0.25">
      <c r="A5" s="1149"/>
      <c r="B5" s="1149"/>
      <c r="C5" s="1151"/>
      <c r="D5" s="1151" t="s">
        <v>444</v>
      </c>
      <c r="E5" s="1149" t="s">
        <v>528</v>
      </c>
      <c r="F5" s="1149"/>
      <c r="G5" s="1149" t="s">
        <v>529</v>
      </c>
      <c r="H5" s="1149"/>
      <c r="I5" s="1149" t="s">
        <v>530</v>
      </c>
      <c r="J5" s="1149"/>
      <c r="K5" s="1149" t="s">
        <v>531</v>
      </c>
      <c r="L5" s="1149"/>
      <c r="M5" s="1149" t="s">
        <v>532</v>
      </c>
      <c r="N5" s="1149"/>
      <c r="O5" s="1149" t="s">
        <v>533</v>
      </c>
      <c r="P5" s="1149"/>
      <c r="Q5" s="1149" t="s">
        <v>534</v>
      </c>
      <c r="R5" s="1150"/>
      <c r="S5" s="1150" t="s">
        <v>782</v>
      </c>
      <c r="T5" s="1152"/>
      <c r="U5" s="1151" t="s">
        <v>444</v>
      </c>
      <c r="V5" s="1149" t="s">
        <v>528</v>
      </c>
      <c r="W5" s="1149"/>
      <c r="X5" s="1149" t="s">
        <v>529</v>
      </c>
      <c r="Y5" s="1149"/>
      <c r="Z5" s="1149" t="s">
        <v>530</v>
      </c>
      <c r="AA5" s="1149"/>
      <c r="AB5" s="1149" t="s">
        <v>531</v>
      </c>
      <c r="AC5" s="1149"/>
      <c r="AD5" s="1149" t="s">
        <v>532</v>
      </c>
      <c r="AE5" s="1149"/>
      <c r="AF5" s="1149" t="s">
        <v>533</v>
      </c>
      <c r="AG5" s="1149"/>
      <c r="AH5" s="1149" t="s">
        <v>534</v>
      </c>
      <c r="AI5" s="1150"/>
      <c r="AJ5" s="1149" t="s">
        <v>782</v>
      </c>
      <c r="AK5" s="1150"/>
      <c r="AL5" s="1151" t="s">
        <v>444</v>
      </c>
      <c r="AM5" s="1149" t="s">
        <v>528</v>
      </c>
      <c r="AN5" s="1149"/>
      <c r="AO5" s="1149" t="s">
        <v>529</v>
      </c>
      <c r="AP5" s="1149"/>
      <c r="AQ5" s="1149" t="s">
        <v>530</v>
      </c>
      <c r="AR5" s="1149"/>
      <c r="AS5" s="1149" t="s">
        <v>531</v>
      </c>
      <c r="AT5" s="1149"/>
      <c r="AU5" s="1149" t="s">
        <v>532</v>
      </c>
      <c r="AV5" s="1149"/>
      <c r="AW5" s="1149" t="s">
        <v>533</v>
      </c>
      <c r="AX5" s="1149"/>
      <c r="AY5" s="1149" t="s">
        <v>534</v>
      </c>
      <c r="AZ5" s="1149"/>
    </row>
    <row r="6" spans="1:53" ht="21" x14ac:dyDescent="0.25">
      <c r="A6" s="1149"/>
      <c r="B6" s="1149"/>
      <c r="C6" s="1151"/>
      <c r="D6" s="1151"/>
      <c r="E6" s="807" t="s">
        <v>535</v>
      </c>
      <c r="F6" s="807" t="s">
        <v>536</v>
      </c>
      <c r="G6" s="807" t="s">
        <v>537</v>
      </c>
      <c r="H6" s="807" t="s">
        <v>538</v>
      </c>
      <c r="I6" s="807" t="s">
        <v>537</v>
      </c>
      <c r="J6" s="807" t="s">
        <v>536</v>
      </c>
      <c r="K6" s="807" t="s">
        <v>537</v>
      </c>
      <c r="L6" s="807" t="s">
        <v>538</v>
      </c>
      <c r="M6" s="807" t="s">
        <v>537</v>
      </c>
      <c r="N6" s="807" t="s">
        <v>538</v>
      </c>
      <c r="O6" s="807" t="s">
        <v>537</v>
      </c>
      <c r="P6" s="807" t="s">
        <v>538</v>
      </c>
      <c r="Q6" s="807" t="s">
        <v>537</v>
      </c>
      <c r="R6" s="808" t="s">
        <v>538</v>
      </c>
      <c r="S6" s="807" t="s">
        <v>537</v>
      </c>
      <c r="T6" s="808" t="s">
        <v>538</v>
      </c>
      <c r="U6" s="1151"/>
      <c r="V6" s="808" t="s">
        <v>537</v>
      </c>
      <c r="W6" s="808" t="s">
        <v>538</v>
      </c>
      <c r="X6" s="808" t="s">
        <v>537</v>
      </c>
      <c r="Y6" s="808" t="s">
        <v>538</v>
      </c>
      <c r="Z6" s="808" t="s">
        <v>537</v>
      </c>
      <c r="AA6" s="808" t="s">
        <v>538</v>
      </c>
      <c r="AB6" s="808" t="s">
        <v>537</v>
      </c>
      <c r="AC6" s="808" t="s">
        <v>538</v>
      </c>
      <c r="AD6" s="808" t="s">
        <v>537</v>
      </c>
      <c r="AE6" s="808" t="s">
        <v>538</v>
      </c>
      <c r="AF6" s="808" t="s">
        <v>537</v>
      </c>
      <c r="AG6" s="808" t="s">
        <v>538</v>
      </c>
      <c r="AH6" s="808" t="s">
        <v>537</v>
      </c>
      <c r="AI6" s="808" t="s">
        <v>538</v>
      </c>
      <c r="AJ6" s="808" t="s">
        <v>537</v>
      </c>
      <c r="AK6" s="808" t="s">
        <v>538</v>
      </c>
      <c r="AL6" s="1151"/>
      <c r="AM6" s="808" t="s">
        <v>537</v>
      </c>
      <c r="AN6" s="808" t="s">
        <v>538</v>
      </c>
      <c r="AO6" s="808" t="s">
        <v>537</v>
      </c>
      <c r="AP6" s="808" t="s">
        <v>538</v>
      </c>
      <c r="AQ6" s="808" t="s">
        <v>537</v>
      </c>
      <c r="AR6" s="808" t="s">
        <v>538</v>
      </c>
      <c r="AS6" s="808" t="s">
        <v>537</v>
      </c>
      <c r="AT6" s="808" t="s">
        <v>538</v>
      </c>
      <c r="AU6" s="808" t="s">
        <v>537</v>
      </c>
      <c r="AV6" s="808" t="s">
        <v>538</v>
      </c>
      <c r="AW6" s="808" t="s">
        <v>537</v>
      </c>
      <c r="AX6" s="808" t="s">
        <v>538</v>
      </c>
      <c r="AY6" s="807" t="s">
        <v>537</v>
      </c>
      <c r="AZ6" s="807" t="s">
        <v>538</v>
      </c>
    </row>
    <row r="7" spans="1:53" x14ac:dyDescent="0.25">
      <c r="A7" s="930">
        <v>1</v>
      </c>
      <c r="B7" s="930">
        <v>2</v>
      </c>
      <c r="C7" s="931">
        <v>3</v>
      </c>
      <c r="D7" s="931">
        <v>4</v>
      </c>
      <c r="E7" s="930">
        <v>5</v>
      </c>
      <c r="F7" s="930">
        <v>6</v>
      </c>
      <c r="G7" s="930">
        <v>7</v>
      </c>
      <c r="H7" s="930">
        <v>8</v>
      </c>
      <c r="I7" s="930">
        <v>9</v>
      </c>
      <c r="J7" s="930">
        <v>10</v>
      </c>
      <c r="K7" s="930">
        <v>11</v>
      </c>
      <c r="L7" s="930">
        <v>12</v>
      </c>
      <c r="M7" s="930">
        <v>13</v>
      </c>
      <c r="N7" s="930">
        <v>14</v>
      </c>
      <c r="O7" s="930">
        <v>15</v>
      </c>
      <c r="P7" s="930">
        <v>16</v>
      </c>
      <c r="Q7" s="930">
        <v>17</v>
      </c>
      <c r="R7" s="932">
        <v>18</v>
      </c>
      <c r="S7" s="930">
        <v>19</v>
      </c>
      <c r="T7" s="932">
        <v>20</v>
      </c>
      <c r="U7" s="930">
        <v>21</v>
      </c>
      <c r="V7" s="932">
        <v>22</v>
      </c>
      <c r="W7" s="930">
        <v>23</v>
      </c>
      <c r="X7" s="932">
        <v>24</v>
      </c>
      <c r="Y7" s="930">
        <v>25</v>
      </c>
      <c r="Z7" s="932">
        <v>26</v>
      </c>
      <c r="AA7" s="930">
        <v>27</v>
      </c>
      <c r="AB7" s="932">
        <v>28</v>
      </c>
      <c r="AC7" s="930">
        <v>29</v>
      </c>
      <c r="AD7" s="932">
        <v>30</v>
      </c>
      <c r="AE7" s="930">
        <v>31</v>
      </c>
      <c r="AF7" s="932">
        <v>32</v>
      </c>
      <c r="AG7" s="930">
        <v>33</v>
      </c>
      <c r="AH7" s="932">
        <v>34</v>
      </c>
      <c r="AI7" s="930">
        <v>35</v>
      </c>
      <c r="AJ7" s="932">
        <v>36</v>
      </c>
      <c r="AK7" s="930">
        <v>37</v>
      </c>
      <c r="AL7" s="932">
        <v>38</v>
      </c>
      <c r="AM7" s="930">
        <v>39</v>
      </c>
      <c r="AN7" s="932">
        <v>40</v>
      </c>
      <c r="AO7" s="930">
        <v>41</v>
      </c>
      <c r="AP7" s="932">
        <v>42</v>
      </c>
      <c r="AQ7" s="930">
        <v>43</v>
      </c>
      <c r="AR7" s="932">
        <v>44</v>
      </c>
      <c r="AS7" s="930">
        <v>45</v>
      </c>
      <c r="AT7" s="932">
        <v>46</v>
      </c>
      <c r="AU7" s="930">
        <v>47</v>
      </c>
      <c r="AV7" s="932">
        <v>48</v>
      </c>
      <c r="AW7" s="930">
        <v>49</v>
      </c>
      <c r="AX7" s="932">
        <v>50</v>
      </c>
      <c r="AY7" s="930">
        <v>51</v>
      </c>
      <c r="AZ7" s="930">
        <v>52</v>
      </c>
    </row>
    <row r="8" spans="1:53" x14ac:dyDescent="0.25">
      <c r="A8" s="931">
        <v>1</v>
      </c>
      <c r="B8" s="809" t="s">
        <v>272</v>
      </c>
      <c r="C8" s="810" t="s">
        <v>273</v>
      </c>
      <c r="D8" s="811">
        <f>E8+F8+G8+H8+I8+J8+K8+L8+M8+N8+O8+P8+Q8+R8+S8+T8</f>
        <v>4124</v>
      </c>
      <c r="E8" s="812">
        <f t="shared" ref="E8:T23" si="0">V8+AM8</f>
        <v>69</v>
      </c>
      <c r="F8" s="812">
        <f t="shared" si="0"/>
        <v>70</v>
      </c>
      <c r="G8" s="812">
        <f t="shared" si="0"/>
        <v>742</v>
      </c>
      <c r="H8" s="812">
        <f t="shared" si="0"/>
        <v>263</v>
      </c>
      <c r="I8" s="812">
        <f t="shared" si="0"/>
        <v>2000</v>
      </c>
      <c r="J8" s="812">
        <f t="shared" si="0"/>
        <v>840</v>
      </c>
      <c r="K8" s="812">
        <f t="shared" si="0"/>
        <v>40</v>
      </c>
      <c r="L8" s="812">
        <f t="shared" si="0"/>
        <v>10</v>
      </c>
      <c r="M8" s="812">
        <f t="shared" si="0"/>
        <v>10</v>
      </c>
      <c r="N8" s="812">
        <f t="shared" si="0"/>
        <v>5</v>
      </c>
      <c r="O8" s="812">
        <f t="shared" si="0"/>
        <v>0</v>
      </c>
      <c r="P8" s="812">
        <f t="shared" si="0"/>
        <v>0</v>
      </c>
      <c r="Q8" s="812">
        <f t="shared" si="0"/>
        <v>0</v>
      </c>
      <c r="R8" s="812">
        <f t="shared" si="0"/>
        <v>0</v>
      </c>
      <c r="S8" s="812">
        <f t="shared" si="0"/>
        <v>60</v>
      </c>
      <c r="T8" s="812">
        <f t="shared" si="0"/>
        <v>15</v>
      </c>
      <c r="U8" s="811">
        <f>V8+W8+X8+Y8+Z8+AA8+AB8+AC8+AD8+AE8+AF8+AG8+AH8+AI8+AJ8+AK8</f>
        <v>3524</v>
      </c>
      <c r="V8" s="813">
        <v>69</v>
      </c>
      <c r="W8" s="813">
        <f>90-20</f>
        <v>70</v>
      </c>
      <c r="X8" s="813">
        <v>742</v>
      </c>
      <c r="Y8" s="813">
        <f>323-60</f>
        <v>263</v>
      </c>
      <c r="Z8" s="811">
        <f>1580+20</f>
        <v>1600</v>
      </c>
      <c r="AA8" s="813">
        <f>580+60</f>
        <v>640</v>
      </c>
      <c r="AB8" s="813">
        <v>40</v>
      </c>
      <c r="AC8" s="813">
        <v>10</v>
      </c>
      <c r="AD8" s="813">
        <f>75-65</f>
        <v>10</v>
      </c>
      <c r="AE8" s="813">
        <f>15-10</f>
        <v>5</v>
      </c>
      <c r="AF8" s="813"/>
      <c r="AG8" s="813"/>
      <c r="AH8" s="813"/>
      <c r="AI8" s="814"/>
      <c r="AJ8" s="813">
        <v>60</v>
      </c>
      <c r="AK8" s="814">
        <v>15</v>
      </c>
      <c r="AL8" s="813">
        <f>AM8+AN8+AO8+AP8+AQ8+AR8+AS8+AT8+AU8+AV8+AW8+AX8+AY8+AZ8</f>
        <v>600</v>
      </c>
      <c r="AM8" s="812">
        <v>0</v>
      </c>
      <c r="AN8" s="812">
        <v>0</v>
      </c>
      <c r="AO8" s="812">
        <v>0</v>
      </c>
      <c r="AP8" s="812">
        <v>0</v>
      </c>
      <c r="AQ8" s="812">
        <v>400</v>
      </c>
      <c r="AR8" s="812">
        <v>200</v>
      </c>
      <c r="AS8" s="812">
        <v>0</v>
      </c>
      <c r="AT8" s="812">
        <v>0</v>
      </c>
      <c r="AU8" s="812">
        <v>0</v>
      </c>
      <c r="AV8" s="812">
        <v>0</v>
      </c>
      <c r="AW8" s="812">
        <v>0</v>
      </c>
      <c r="AX8" s="812">
        <v>0</v>
      </c>
      <c r="AY8" s="812">
        <v>0</v>
      </c>
      <c r="AZ8" s="812">
        <v>0</v>
      </c>
      <c r="BA8" s="815"/>
    </row>
    <row r="9" spans="1:53" x14ac:dyDescent="0.25">
      <c r="A9" s="931">
        <v>2</v>
      </c>
      <c r="B9" s="809" t="s">
        <v>28</v>
      </c>
      <c r="C9" s="810" t="s">
        <v>29</v>
      </c>
      <c r="D9" s="811">
        <f t="shared" ref="D9:D38" si="1">E9+F9+G9+H9+I9+J9+K9+L9+M9+N9+O9+P9+Q9+R9+S9+T9</f>
        <v>400</v>
      </c>
      <c r="E9" s="812">
        <f t="shared" si="0"/>
        <v>180</v>
      </c>
      <c r="F9" s="812">
        <f t="shared" si="0"/>
        <v>50</v>
      </c>
      <c r="G9" s="812">
        <f t="shared" si="0"/>
        <v>60</v>
      </c>
      <c r="H9" s="812">
        <f t="shared" si="0"/>
        <v>50</v>
      </c>
      <c r="I9" s="812">
        <f t="shared" si="0"/>
        <v>30</v>
      </c>
      <c r="J9" s="812">
        <f t="shared" si="0"/>
        <v>0</v>
      </c>
      <c r="K9" s="812">
        <f t="shared" si="0"/>
        <v>0</v>
      </c>
      <c r="L9" s="812">
        <f t="shared" si="0"/>
        <v>0</v>
      </c>
      <c r="M9" s="812">
        <f t="shared" si="0"/>
        <v>30</v>
      </c>
      <c r="N9" s="812">
        <f t="shared" si="0"/>
        <v>0</v>
      </c>
      <c r="O9" s="812">
        <f t="shared" si="0"/>
        <v>0</v>
      </c>
      <c r="P9" s="812">
        <f t="shared" si="0"/>
        <v>0</v>
      </c>
      <c r="Q9" s="812">
        <f t="shared" si="0"/>
        <v>0</v>
      </c>
      <c r="R9" s="812">
        <f t="shared" si="0"/>
        <v>0</v>
      </c>
      <c r="S9" s="812">
        <f t="shared" si="0"/>
        <v>0</v>
      </c>
      <c r="T9" s="812">
        <f t="shared" si="0"/>
        <v>0</v>
      </c>
      <c r="U9" s="811">
        <f t="shared" ref="U9:U38" si="2">V9+W9+X9+Y9+Z9+AA9+AB9+AC9+AD9+AE9+AF9+AG9+AH9+AI9+AJ9+AK9</f>
        <v>200</v>
      </c>
      <c r="V9" s="813">
        <v>50</v>
      </c>
      <c r="W9" s="813">
        <v>50</v>
      </c>
      <c r="X9" s="813">
        <v>50</v>
      </c>
      <c r="Y9" s="813">
        <v>50</v>
      </c>
      <c r="Z9" s="813"/>
      <c r="AA9" s="813"/>
      <c r="AB9" s="813"/>
      <c r="AC9" s="813"/>
      <c r="AD9" s="813"/>
      <c r="AE9" s="813"/>
      <c r="AF9" s="813"/>
      <c r="AG9" s="813"/>
      <c r="AH9" s="813"/>
      <c r="AI9" s="814"/>
      <c r="AJ9" s="813"/>
      <c r="AK9" s="814"/>
      <c r="AL9" s="813">
        <f t="shared" ref="AL9:AL38" si="3">AM9+AN9+AO9+AP9+AQ9+AR9+AS9+AT9+AU9+AV9+AW9+AX9+AY9+AZ9</f>
        <v>200</v>
      </c>
      <c r="AM9" s="812">
        <v>130</v>
      </c>
      <c r="AN9" s="812">
        <v>0</v>
      </c>
      <c r="AO9" s="812">
        <v>10</v>
      </c>
      <c r="AP9" s="812">
        <v>0</v>
      </c>
      <c r="AQ9" s="812">
        <v>30</v>
      </c>
      <c r="AR9" s="812">
        <v>0</v>
      </c>
      <c r="AS9" s="812">
        <v>0</v>
      </c>
      <c r="AT9" s="812">
        <v>0</v>
      </c>
      <c r="AU9" s="812">
        <v>30</v>
      </c>
      <c r="AV9" s="812">
        <v>0</v>
      </c>
      <c r="AW9" s="812">
        <v>0</v>
      </c>
      <c r="AX9" s="812">
        <v>0</v>
      </c>
      <c r="AY9" s="812">
        <v>0</v>
      </c>
      <c r="AZ9" s="812">
        <v>0</v>
      </c>
      <c r="BA9" s="815"/>
    </row>
    <row r="10" spans="1:53" ht="22.5" x14ac:dyDescent="0.25">
      <c r="A10" s="931">
        <v>3</v>
      </c>
      <c r="B10" s="809" t="s">
        <v>127</v>
      </c>
      <c r="C10" s="810" t="s">
        <v>128</v>
      </c>
      <c r="D10" s="811">
        <f t="shared" si="1"/>
        <v>310</v>
      </c>
      <c r="E10" s="812">
        <f t="shared" si="0"/>
        <v>210</v>
      </c>
      <c r="F10" s="812">
        <f t="shared" si="0"/>
        <v>0</v>
      </c>
      <c r="G10" s="812">
        <f t="shared" si="0"/>
        <v>10</v>
      </c>
      <c r="H10" s="812">
        <f t="shared" si="0"/>
        <v>0</v>
      </c>
      <c r="I10" s="812">
        <f t="shared" si="0"/>
        <v>50</v>
      </c>
      <c r="J10" s="812">
        <f t="shared" si="0"/>
        <v>0</v>
      </c>
      <c r="K10" s="812">
        <f t="shared" si="0"/>
        <v>0</v>
      </c>
      <c r="L10" s="812">
        <f t="shared" si="0"/>
        <v>0</v>
      </c>
      <c r="M10" s="812">
        <f t="shared" si="0"/>
        <v>40</v>
      </c>
      <c r="N10" s="812">
        <f t="shared" si="0"/>
        <v>0</v>
      </c>
      <c r="O10" s="812">
        <f t="shared" si="0"/>
        <v>0</v>
      </c>
      <c r="P10" s="812">
        <f t="shared" si="0"/>
        <v>0</v>
      </c>
      <c r="Q10" s="812">
        <f t="shared" si="0"/>
        <v>0</v>
      </c>
      <c r="R10" s="812">
        <f t="shared" si="0"/>
        <v>0</v>
      </c>
      <c r="S10" s="812">
        <f t="shared" si="0"/>
        <v>0</v>
      </c>
      <c r="T10" s="812">
        <f t="shared" si="0"/>
        <v>0</v>
      </c>
      <c r="U10" s="811">
        <f t="shared" si="2"/>
        <v>0</v>
      </c>
      <c r="V10" s="813"/>
      <c r="W10" s="813"/>
      <c r="X10" s="813"/>
      <c r="Y10" s="813"/>
      <c r="Z10" s="813"/>
      <c r="AA10" s="813"/>
      <c r="AB10" s="813"/>
      <c r="AC10" s="813"/>
      <c r="AD10" s="813"/>
      <c r="AE10" s="813"/>
      <c r="AF10" s="813"/>
      <c r="AG10" s="813"/>
      <c r="AH10" s="813"/>
      <c r="AI10" s="814"/>
      <c r="AJ10" s="813"/>
      <c r="AK10" s="814"/>
      <c r="AL10" s="813">
        <f t="shared" si="3"/>
        <v>310</v>
      </c>
      <c r="AM10" s="812">
        <v>210</v>
      </c>
      <c r="AN10" s="812">
        <v>0</v>
      </c>
      <c r="AO10" s="812">
        <v>10</v>
      </c>
      <c r="AP10" s="812">
        <v>0</v>
      </c>
      <c r="AQ10" s="812">
        <v>50</v>
      </c>
      <c r="AR10" s="812">
        <v>0</v>
      </c>
      <c r="AS10" s="812">
        <v>0</v>
      </c>
      <c r="AT10" s="812">
        <v>0</v>
      </c>
      <c r="AU10" s="812">
        <v>40</v>
      </c>
      <c r="AV10" s="812">
        <v>0</v>
      </c>
      <c r="AW10" s="812">
        <v>0</v>
      </c>
      <c r="AX10" s="812">
        <v>0</v>
      </c>
      <c r="AY10" s="812">
        <v>0</v>
      </c>
      <c r="AZ10" s="812">
        <v>0</v>
      </c>
      <c r="BA10" s="815"/>
    </row>
    <row r="11" spans="1:53" ht="22.5" x14ac:dyDescent="0.25">
      <c r="A11" s="931">
        <v>4</v>
      </c>
      <c r="B11" s="809" t="s">
        <v>129</v>
      </c>
      <c r="C11" s="810" t="s">
        <v>460</v>
      </c>
      <c r="D11" s="811">
        <f t="shared" si="1"/>
        <v>310</v>
      </c>
      <c r="E11" s="812">
        <f t="shared" si="0"/>
        <v>215</v>
      </c>
      <c r="F11" s="812">
        <f t="shared" si="0"/>
        <v>0</v>
      </c>
      <c r="G11" s="812">
        <f t="shared" si="0"/>
        <v>5</v>
      </c>
      <c r="H11" s="812">
        <f t="shared" si="0"/>
        <v>0</v>
      </c>
      <c r="I11" s="812">
        <f t="shared" si="0"/>
        <v>50</v>
      </c>
      <c r="J11" s="812">
        <f t="shared" si="0"/>
        <v>0</v>
      </c>
      <c r="K11" s="812">
        <f t="shared" si="0"/>
        <v>0</v>
      </c>
      <c r="L11" s="812">
        <f t="shared" si="0"/>
        <v>0</v>
      </c>
      <c r="M11" s="812">
        <f t="shared" si="0"/>
        <v>40</v>
      </c>
      <c r="N11" s="812">
        <f t="shared" si="0"/>
        <v>0</v>
      </c>
      <c r="O11" s="812">
        <f t="shared" si="0"/>
        <v>0</v>
      </c>
      <c r="P11" s="812">
        <f t="shared" si="0"/>
        <v>0</v>
      </c>
      <c r="Q11" s="812">
        <f t="shared" si="0"/>
        <v>0</v>
      </c>
      <c r="R11" s="812">
        <f t="shared" si="0"/>
        <v>0</v>
      </c>
      <c r="S11" s="812">
        <f t="shared" si="0"/>
        <v>0</v>
      </c>
      <c r="T11" s="812">
        <f t="shared" si="0"/>
        <v>0</v>
      </c>
      <c r="U11" s="811">
        <f t="shared" si="2"/>
        <v>0</v>
      </c>
      <c r="V11" s="813"/>
      <c r="W11" s="813"/>
      <c r="X11" s="813"/>
      <c r="Y11" s="813"/>
      <c r="Z11" s="813"/>
      <c r="AA11" s="813"/>
      <c r="AB11" s="813"/>
      <c r="AC11" s="813"/>
      <c r="AD11" s="813"/>
      <c r="AE11" s="813"/>
      <c r="AF11" s="813"/>
      <c r="AG11" s="813"/>
      <c r="AH11" s="813"/>
      <c r="AI11" s="814"/>
      <c r="AJ11" s="813"/>
      <c r="AK11" s="814"/>
      <c r="AL11" s="813">
        <f t="shared" si="3"/>
        <v>310</v>
      </c>
      <c r="AM11" s="812">
        <v>215</v>
      </c>
      <c r="AN11" s="812">
        <v>0</v>
      </c>
      <c r="AO11" s="812">
        <v>5</v>
      </c>
      <c r="AP11" s="812">
        <v>0</v>
      </c>
      <c r="AQ11" s="812">
        <v>50</v>
      </c>
      <c r="AR11" s="812">
        <v>0</v>
      </c>
      <c r="AS11" s="812">
        <v>0</v>
      </c>
      <c r="AT11" s="812">
        <v>0</v>
      </c>
      <c r="AU11" s="812">
        <f>30+10</f>
        <v>40</v>
      </c>
      <c r="AV11" s="812">
        <f>10-10</f>
        <v>0</v>
      </c>
      <c r="AW11" s="812">
        <v>0</v>
      </c>
      <c r="AX11" s="812">
        <v>0</v>
      </c>
      <c r="AY11" s="812">
        <v>0</v>
      </c>
      <c r="AZ11" s="812">
        <v>0</v>
      </c>
      <c r="BA11" s="815"/>
    </row>
    <row r="12" spans="1:53" ht="22.5" x14ac:dyDescent="0.25">
      <c r="A12" s="931">
        <v>5</v>
      </c>
      <c r="B12" s="809" t="s">
        <v>133</v>
      </c>
      <c r="C12" s="810" t="s">
        <v>299</v>
      </c>
      <c r="D12" s="811">
        <f t="shared" si="1"/>
        <v>312</v>
      </c>
      <c r="E12" s="812">
        <f t="shared" si="0"/>
        <v>215</v>
      </c>
      <c r="F12" s="812">
        <f t="shared" si="0"/>
        <v>0</v>
      </c>
      <c r="G12" s="812">
        <f t="shared" si="0"/>
        <v>7</v>
      </c>
      <c r="H12" s="812">
        <f t="shared" si="0"/>
        <v>0</v>
      </c>
      <c r="I12" s="812">
        <f t="shared" si="0"/>
        <v>50</v>
      </c>
      <c r="J12" s="812">
        <f t="shared" si="0"/>
        <v>0</v>
      </c>
      <c r="K12" s="812">
        <f t="shared" si="0"/>
        <v>0</v>
      </c>
      <c r="L12" s="812">
        <f t="shared" si="0"/>
        <v>0</v>
      </c>
      <c r="M12" s="812">
        <f t="shared" si="0"/>
        <v>30</v>
      </c>
      <c r="N12" s="812">
        <f t="shared" si="0"/>
        <v>10</v>
      </c>
      <c r="O12" s="812">
        <f t="shared" si="0"/>
        <v>0</v>
      </c>
      <c r="P12" s="812">
        <f t="shared" si="0"/>
        <v>0</v>
      </c>
      <c r="Q12" s="812">
        <f t="shared" si="0"/>
        <v>0</v>
      </c>
      <c r="R12" s="812">
        <f t="shared" si="0"/>
        <v>0</v>
      </c>
      <c r="S12" s="812">
        <f t="shared" si="0"/>
        <v>0</v>
      </c>
      <c r="T12" s="812">
        <f t="shared" si="0"/>
        <v>0</v>
      </c>
      <c r="U12" s="811">
        <f t="shared" si="2"/>
        <v>0</v>
      </c>
      <c r="V12" s="813"/>
      <c r="W12" s="813"/>
      <c r="X12" s="813"/>
      <c r="Y12" s="813"/>
      <c r="Z12" s="813"/>
      <c r="AA12" s="813"/>
      <c r="AB12" s="813"/>
      <c r="AC12" s="813"/>
      <c r="AD12" s="813"/>
      <c r="AE12" s="813"/>
      <c r="AF12" s="813"/>
      <c r="AG12" s="813"/>
      <c r="AH12" s="813"/>
      <c r="AI12" s="814"/>
      <c r="AJ12" s="813"/>
      <c r="AK12" s="814"/>
      <c r="AL12" s="813">
        <f t="shared" si="3"/>
        <v>312</v>
      </c>
      <c r="AM12" s="812">
        <v>215</v>
      </c>
      <c r="AN12" s="812">
        <v>0</v>
      </c>
      <c r="AO12" s="812">
        <v>7</v>
      </c>
      <c r="AP12" s="812">
        <v>0</v>
      </c>
      <c r="AQ12" s="812">
        <v>50</v>
      </c>
      <c r="AR12" s="812">
        <v>0</v>
      </c>
      <c r="AS12" s="812">
        <v>0</v>
      </c>
      <c r="AT12" s="812">
        <v>0</v>
      </c>
      <c r="AU12" s="812">
        <v>30</v>
      </c>
      <c r="AV12" s="812">
        <v>10</v>
      </c>
      <c r="AW12" s="812">
        <v>0</v>
      </c>
      <c r="AX12" s="812">
        <v>0</v>
      </c>
      <c r="AY12" s="812">
        <v>0</v>
      </c>
      <c r="AZ12" s="812">
        <v>0</v>
      </c>
      <c r="BA12" s="815"/>
    </row>
    <row r="13" spans="1:53" ht="22.5" x14ac:dyDescent="0.25">
      <c r="A13" s="931">
        <v>6</v>
      </c>
      <c r="B13" s="809" t="s">
        <v>135</v>
      </c>
      <c r="C13" s="810" t="s">
        <v>462</v>
      </c>
      <c r="D13" s="811">
        <f t="shared" si="1"/>
        <v>310</v>
      </c>
      <c r="E13" s="812">
        <f t="shared" si="0"/>
        <v>210</v>
      </c>
      <c r="F13" s="812">
        <f t="shared" si="0"/>
        <v>0</v>
      </c>
      <c r="G13" s="812">
        <f t="shared" si="0"/>
        <v>10</v>
      </c>
      <c r="H13" s="812">
        <f t="shared" si="0"/>
        <v>0</v>
      </c>
      <c r="I13" s="812">
        <f t="shared" si="0"/>
        <v>50</v>
      </c>
      <c r="J13" s="812">
        <f t="shared" si="0"/>
        <v>0</v>
      </c>
      <c r="K13" s="812">
        <f t="shared" si="0"/>
        <v>0</v>
      </c>
      <c r="L13" s="812">
        <f t="shared" si="0"/>
        <v>0</v>
      </c>
      <c r="M13" s="812">
        <f t="shared" si="0"/>
        <v>30</v>
      </c>
      <c r="N13" s="812">
        <f t="shared" si="0"/>
        <v>10</v>
      </c>
      <c r="O13" s="812">
        <f t="shared" si="0"/>
        <v>0</v>
      </c>
      <c r="P13" s="812">
        <f t="shared" si="0"/>
        <v>0</v>
      </c>
      <c r="Q13" s="812">
        <f t="shared" si="0"/>
        <v>0</v>
      </c>
      <c r="R13" s="812">
        <f t="shared" si="0"/>
        <v>0</v>
      </c>
      <c r="S13" s="812">
        <f t="shared" si="0"/>
        <v>0</v>
      </c>
      <c r="T13" s="812">
        <f t="shared" si="0"/>
        <v>0</v>
      </c>
      <c r="U13" s="811">
        <f t="shared" si="2"/>
        <v>0</v>
      </c>
      <c r="V13" s="813"/>
      <c r="W13" s="813"/>
      <c r="X13" s="813"/>
      <c r="Y13" s="813"/>
      <c r="Z13" s="813"/>
      <c r="AA13" s="813"/>
      <c r="AB13" s="813"/>
      <c r="AC13" s="813"/>
      <c r="AD13" s="813"/>
      <c r="AE13" s="813"/>
      <c r="AF13" s="813"/>
      <c r="AG13" s="813"/>
      <c r="AH13" s="813"/>
      <c r="AI13" s="814"/>
      <c r="AJ13" s="813"/>
      <c r="AK13" s="814"/>
      <c r="AL13" s="813">
        <f t="shared" si="3"/>
        <v>310</v>
      </c>
      <c r="AM13" s="812">
        <v>210</v>
      </c>
      <c r="AN13" s="812">
        <v>0</v>
      </c>
      <c r="AO13" s="812">
        <v>10</v>
      </c>
      <c r="AP13" s="812">
        <v>0</v>
      </c>
      <c r="AQ13" s="812">
        <v>50</v>
      </c>
      <c r="AR13" s="812">
        <v>0</v>
      </c>
      <c r="AS13" s="812">
        <v>0</v>
      </c>
      <c r="AT13" s="812">
        <v>0</v>
      </c>
      <c r="AU13" s="812">
        <v>30</v>
      </c>
      <c r="AV13" s="812">
        <v>10</v>
      </c>
      <c r="AW13" s="812">
        <v>0</v>
      </c>
      <c r="AX13" s="812">
        <v>0</v>
      </c>
      <c r="AY13" s="812">
        <v>0</v>
      </c>
      <c r="AZ13" s="812">
        <v>0</v>
      </c>
      <c r="BA13" s="815"/>
    </row>
    <row r="14" spans="1:53" x14ac:dyDescent="0.25">
      <c r="A14" s="931">
        <v>7</v>
      </c>
      <c r="B14" s="809" t="s">
        <v>50</v>
      </c>
      <c r="C14" s="810" t="s">
        <v>51</v>
      </c>
      <c r="D14" s="811">
        <f t="shared" si="1"/>
        <v>200</v>
      </c>
      <c r="E14" s="812">
        <f t="shared" si="0"/>
        <v>15</v>
      </c>
      <c r="F14" s="812">
        <f t="shared" si="0"/>
        <v>26</v>
      </c>
      <c r="G14" s="812">
        <f t="shared" si="0"/>
        <v>23</v>
      </c>
      <c r="H14" s="812">
        <f t="shared" si="0"/>
        <v>20</v>
      </c>
      <c r="I14" s="812">
        <f t="shared" si="0"/>
        <v>48</v>
      </c>
      <c r="J14" s="812">
        <f t="shared" si="0"/>
        <v>36</v>
      </c>
      <c r="K14" s="812">
        <f t="shared" si="0"/>
        <v>0</v>
      </c>
      <c r="L14" s="812">
        <f t="shared" si="0"/>
        <v>0</v>
      </c>
      <c r="M14" s="812">
        <f t="shared" si="0"/>
        <v>25</v>
      </c>
      <c r="N14" s="812">
        <f t="shared" si="0"/>
        <v>7</v>
      </c>
      <c r="O14" s="812">
        <f t="shared" si="0"/>
        <v>0</v>
      </c>
      <c r="P14" s="812">
        <f t="shared" si="0"/>
        <v>0</v>
      </c>
      <c r="Q14" s="812">
        <f t="shared" si="0"/>
        <v>0</v>
      </c>
      <c r="R14" s="812">
        <f t="shared" si="0"/>
        <v>0</v>
      </c>
      <c r="S14" s="812">
        <f t="shared" si="0"/>
        <v>0</v>
      </c>
      <c r="T14" s="812">
        <f t="shared" si="0"/>
        <v>0</v>
      </c>
      <c r="U14" s="811">
        <f t="shared" si="2"/>
        <v>100</v>
      </c>
      <c r="V14" s="813">
        <v>10</v>
      </c>
      <c r="W14" s="813">
        <v>10</v>
      </c>
      <c r="X14" s="813">
        <v>15</v>
      </c>
      <c r="Y14" s="813">
        <v>15</v>
      </c>
      <c r="Z14" s="813">
        <v>20</v>
      </c>
      <c r="AA14" s="813">
        <v>20</v>
      </c>
      <c r="AB14" s="813"/>
      <c r="AC14" s="813"/>
      <c r="AD14" s="813">
        <v>6</v>
      </c>
      <c r="AE14" s="813">
        <v>4</v>
      </c>
      <c r="AF14" s="813"/>
      <c r="AG14" s="813"/>
      <c r="AH14" s="813"/>
      <c r="AI14" s="814"/>
      <c r="AJ14" s="813"/>
      <c r="AK14" s="814"/>
      <c r="AL14" s="813">
        <f t="shared" si="3"/>
        <v>100</v>
      </c>
      <c r="AM14" s="812">
        <v>5</v>
      </c>
      <c r="AN14" s="812">
        <v>16</v>
      </c>
      <c r="AO14" s="812">
        <v>8</v>
      </c>
      <c r="AP14" s="812">
        <v>5</v>
      </c>
      <c r="AQ14" s="812">
        <v>28</v>
      </c>
      <c r="AR14" s="812">
        <v>16</v>
      </c>
      <c r="AS14" s="812">
        <v>0</v>
      </c>
      <c r="AT14" s="812">
        <v>0</v>
      </c>
      <c r="AU14" s="812">
        <v>19</v>
      </c>
      <c r="AV14" s="812">
        <v>3</v>
      </c>
      <c r="AW14" s="812">
        <v>0</v>
      </c>
      <c r="AX14" s="812">
        <v>0</v>
      </c>
      <c r="AY14" s="812">
        <v>0</v>
      </c>
      <c r="AZ14" s="812">
        <v>0</v>
      </c>
      <c r="BA14" s="815"/>
    </row>
    <row r="15" spans="1:53" x14ac:dyDescent="0.25">
      <c r="A15" s="931">
        <v>8</v>
      </c>
      <c r="B15" s="809" t="s">
        <v>207</v>
      </c>
      <c r="C15" s="810" t="s">
        <v>208</v>
      </c>
      <c r="D15" s="811">
        <f t="shared" si="1"/>
        <v>120</v>
      </c>
      <c r="E15" s="812">
        <f t="shared" si="0"/>
        <v>49</v>
      </c>
      <c r="F15" s="812">
        <f t="shared" si="0"/>
        <v>8</v>
      </c>
      <c r="G15" s="812">
        <f t="shared" si="0"/>
        <v>0</v>
      </c>
      <c r="H15" s="812">
        <f t="shared" si="0"/>
        <v>0</v>
      </c>
      <c r="I15" s="812">
        <f t="shared" si="0"/>
        <v>50</v>
      </c>
      <c r="J15" s="812">
        <f t="shared" si="0"/>
        <v>5</v>
      </c>
      <c r="K15" s="812">
        <f t="shared" si="0"/>
        <v>0</v>
      </c>
      <c r="L15" s="812">
        <f t="shared" si="0"/>
        <v>0</v>
      </c>
      <c r="M15" s="812">
        <f t="shared" si="0"/>
        <v>7</v>
      </c>
      <c r="N15" s="812">
        <f t="shared" si="0"/>
        <v>1</v>
      </c>
      <c r="O15" s="812">
        <f t="shared" si="0"/>
        <v>0</v>
      </c>
      <c r="P15" s="812">
        <f t="shared" si="0"/>
        <v>0</v>
      </c>
      <c r="Q15" s="812">
        <f t="shared" si="0"/>
        <v>0</v>
      </c>
      <c r="R15" s="812">
        <f t="shared" si="0"/>
        <v>0</v>
      </c>
      <c r="S15" s="812">
        <f t="shared" si="0"/>
        <v>0</v>
      </c>
      <c r="T15" s="812">
        <f t="shared" si="0"/>
        <v>0</v>
      </c>
      <c r="U15" s="811">
        <f t="shared" si="2"/>
        <v>20</v>
      </c>
      <c r="V15" s="813">
        <v>5</v>
      </c>
      <c r="W15" s="813"/>
      <c r="X15" s="813"/>
      <c r="Y15" s="813"/>
      <c r="Z15" s="813">
        <v>15</v>
      </c>
      <c r="AA15" s="813"/>
      <c r="AB15" s="813"/>
      <c r="AC15" s="813"/>
      <c r="AD15" s="813"/>
      <c r="AE15" s="813"/>
      <c r="AF15" s="813"/>
      <c r="AG15" s="813"/>
      <c r="AH15" s="813"/>
      <c r="AI15" s="814"/>
      <c r="AJ15" s="813"/>
      <c r="AK15" s="814"/>
      <c r="AL15" s="813">
        <f t="shared" si="3"/>
        <v>100</v>
      </c>
      <c r="AM15" s="812">
        <f>11+34-1</f>
        <v>44</v>
      </c>
      <c r="AN15" s="812">
        <f>5+3</f>
        <v>8</v>
      </c>
      <c r="AO15" s="812">
        <f>28-28</f>
        <v>0</v>
      </c>
      <c r="AP15" s="812">
        <f>5-5</f>
        <v>0</v>
      </c>
      <c r="AQ15" s="812">
        <f>31+4</f>
        <v>35</v>
      </c>
      <c r="AR15" s="812">
        <v>5</v>
      </c>
      <c r="AS15" s="812">
        <v>0</v>
      </c>
      <c r="AT15" s="812">
        <v>0</v>
      </c>
      <c r="AU15" s="812">
        <f>11-4</f>
        <v>7</v>
      </c>
      <c r="AV15" s="812">
        <v>1</v>
      </c>
      <c r="AW15" s="812">
        <v>0</v>
      </c>
      <c r="AX15" s="812">
        <v>0</v>
      </c>
      <c r="AY15" s="812">
        <v>0</v>
      </c>
      <c r="AZ15" s="812">
        <v>0</v>
      </c>
      <c r="BA15" s="815"/>
    </row>
    <row r="16" spans="1:53" x14ac:dyDescent="0.25">
      <c r="A16" s="931">
        <v>9</v>
      </c>
      <c r="B16" s="809" t="s">
        <v>264</v>
      </c>
      <c r="C16" s="810" t="s">
        <v>265</v>
      </c>
      <c r="D16" s="811">
        <f t="shared" si="1"/>
        <v>400</v>
      </c>
      <c r="E16" s="812">
        <f t="shared" si="0"/>
        <v>150</v>
      </c>
      <c r="F16" s="812">
        <f t="shared" si="0"/>
        <v>50</v>
      </c>
      <c r="G16" s="812">
        <f t="shared" si="0"/>
        <v>35</v>
      </c>
      <c r="H16" s="812">
        <f t="shared" si="0"/>
        <v>5</v>
      </c>
      <c r="I16" s="812">
        <f t="shared" si="0"/>
        <v>88</v>
      </c>
      <c r="J16" s="812">
        <f t="shared" si="0"/>
        <v>10</v>
      </c>
      <c r="K16" s="812">
        <f t="shared" si="0"/>
        <v>0</v>
      </c>
      <c r="L16" s="812">
        <f t="shared" si="0"/>
        <v>0</v>
      </c>
      <c r="M16" s="812">
        <f t="shared" si="0"/>
        <v>37</v>
      </c>
      <c r="N16" s="812">
        <f t="shared" si="0"/>
        <v>10</v>
      </c>
      <c r="O16" s="812">
        <f t="shared" si="0"/>
        <v>0</v>
      </c>
      <c r="P16" s="812">
        <f t="shared" si="0"/>
        <v>0</v>
      </c>
      <c r="Q16" s="812">
        <f t="shared" si="0"/>
        <v>10</v>
      </c>
      <c r="R16" s="812">
        <f t="shared" si="0"/>
        <v>5</v>
      </c>
      <c r="S16" s="812">
        <f t="shared" si="0"/>
        <v>0</v>
      </c>
      <c r="T16" s="812">
        <f t="shared" si="0"/>
        <v>0</v>
      </c>
      <c r="U16" s="811">
        <f t="shared" si="2"/>
        <v>0</v>
      </c>
      <c r="V16" s="813"/>
      <c r="W16" s="813"/>
      <c r="X16" s="813"/>
      <c r="Y16" s="813"/>
      <c r="Z16" s="813"/>
      <c r="AA16" s="813"/>
      <c r="AB16" s="813"/>
      <c r="AC16" s="813"/>
      <c r="AD16" s="813"/>
      <c r="AE16" s="813"/>
      <c r="AF16" s="813"/>
      <c r="AG16" s="813"/>
      <c r="AH16" s="813"/>
      <c r="AI16" s="814"/>
      <c r="AJ16" s="813"/>
      <c r="AK16" s="814"/>
      <c r="AL16" s="813">
        <f t="shared" si="3"/>
        <v>400</v>
      </c>
      <c r="AM16" s="812">
        <v>150</v>
      </c>
      <c r="AN16" s="812">
        <f>20+30</f>
        <v>50</v>
      </c>
      <c r="AO16" s="812">
        <v>35</v>
      </c>
      <c r="AP16" s="812">
        <v>5</v>
      </c>
      <c r="AQ16" s="812">
        <v>88</v>
      </c>
      <c r="AR16" s="812">
        <v>10</v>
      </c>
      <c r="AS16" s="812">
        <v>0</v>
      </c>
      <c r="AT16" s="812">
        <v>0</v>
      </c>
      <c r="AU16" s="812">
        <f>17+20</f>
        <v>37</v>
      </c>
      <c r="AV16" s="812">
        <v>10</v>
      </c>
      <c r="AW16" s="812">
        <v>0</v>
      </c>
      <c r="AX16" s="812">
        <v>0</v>
      </c>
      <c r="AY16" s="812">
        <f>30-20</f>
        <v>10</v>
      </c>
      <c r="AZ16" s="812">
        <f>35-30</f>
        <v>5</v>
      </c>
      <c r="BA16" s="815"/>
    </row>
    <row r="17" spans="1:53" x14ac:dyDescent="0.25">
      <c r="A17" s="931">
        <v>10</v>
      </c>
      <c r="B17" s="809" t="s">
        <v>171</v>
      </c>
      <c r="C17" s="810" t="s">
        <v>172</v>
      </c>
      <c r="D17" s="811">
        <f t="shared" si="1"/>
        <v>150</v>
      </c>
      <c r="E17" s="812">
        <f t="shared" si="0"/>
        <v>30</v>
      </c>
      <c r="F17" s="812">
        <f t="shared" si="0"/>
        <v>10</v>
      </c>
      <c r="G17" s="812">
        <f t="shared" si="0"/>
        <v>20</v>
      </c>
      <c r="H17" s="812">
        <f t="shared" si="0"/>
        <v>20</v>
      </c>
      <c r="I17" s="812">
        <f t="shared" si="0"/>
        <v>30</v>
      </c>
      <c r="J17" s="812">
        <f t="shared" si="0"/>
        <v>10</v>
      </c>
      <c r="K17" s="812">
        <f t="shared" si="0"/>
        <v>0</v>
      </c>
      <c r="L17" s="812">
        <f t="shared" si="0"/>
        <v>0</v>
      </c>
      <c r="M17" s="812">
        <f t="shared" si="0"/>
        <v>20</v>
      </c>
      <c r="N17" s="812">
        <f t="shared" si="0"/>
        <v>10</v>
      </c>
      <c r="O17" s="812">
        <f t="shared" si="0"/>
        <v>0</v>
      </c>
      <c r="P17" s="812">
        <f t="shared" si="0"/>
        <v>0</v>
      </c>
      <c r="Q17" s="812">
        <f t="shared" si="0"/>
        <v>0</v>
      </c>
      <c r="R17" s="812">
        <f t="shared" si="0"/>
        <v>0</v>
      </c>
      <c r="S17" s="812">
        <f t="shared" si="0"/>
        <v>0</v>
      </c>
      <c r="T17" s="812">
        <f t="shared" si="0"/>
        <v>0</v>
      </c>
      <c r="U17" s="811">
        <f t="shared" si="2"/>
        <v>0</v>
      </c>
      <c r="V17" s="813"/>
      <c r="W17" s="813"/>
      <c r="X17" s="813"/>
      <c r="Y17" s="813"/>
      <c r="Z17" s="813"/>
      <c r="AA17" s="813"/>
      <c r="AB17" s="813"/>
      <c r="AC17" s="813"/>
      <c r="AD17" s="813"/>
      <c r="AE17" s="813"/>
      <c r="AF17" s="813"/>
      <c r="AG17" s="813"/>
      <c r="AH17" s="813"/>
      <c r="AI17" s="814"/>
      <c r="AJ17" s="813"/>
      <c r="AK17" s="814"/>
      <c r="AL17" s="813">
        <f t="shared" si="3"/>
        <v>150</v>
      </c>
      <c r="AM17" s="812">
        <v>30</v>
      </c>
      <c r="AN17" s="812">
        <v>10</v>
      </c>
      <c r="AO17" s="812">
        <v>20</v>
      </c>
      <c r="AP17" s="812">
        <v>20</v>
      </c>
      <c r="AQ17" s="812">
        <v>30</v>
      </c>
      <c r="AR17" s="812">
        <v>10</v>
      </c>
      <c r="AS17" s="812">
        <v>0</v>
      </c>
      <c r="AT17" s="812">
        <v>0</v>
      </c>
      <c r="AU17" s="812">
        <v>20</v>
      </c>
      <c r="AV17" s="812">
        <v>10</v>
      </c>
      <c r="AW17" s="812">
        <v>0</v>
      </c>
      <c r="AX17" s="812">
        <v>0</v>
      </c>
      <c r="AY17" s="812">
        <v>0</v>
      </c>
      <c r="AZ17" s="812">
        <v>0</v>
      </c>
      <c r="BA17" s="815"/>
    </row>
    <row r="18" spans="1:53" x14ac:dyDescent="0.25">
      <c r="A18" s="931">
        <v>11</v>
      </c>
      <c r="B18" s="809" t="s">
        <v>187</v>
      </c>
      <c r="C18" s="810" t="s">
        <v>188</v>
      </c>
      <c r="D18" s="811">
        <f t="shared" si="1"/>
        <v>85</v>
      </c>
      <c r="E18" s="812">
        <f t="shared" si="0"/>
        <v>0</v>
      </c>
      <c r="F18" s="812">
        <f t="shared" si="0"/>
        <v>0</v>
      </c>
      <c r="G18" s="812">
        <f t="shared" si="0"/>
        <v>0</v>
      </c>
      <c r="H18" s="812">
        <f t="shared" si="0"/>
        <v>0</v>
      </c>
      <c r="I18" s="812">
        <f t="shared" si="0"/>
        <v>0</v>
      </c>
      <c r="J18" s="812">
        <f t="shared" si="0"/>
        <v>25</v>
      </c>
      <c r="K18" s="812">
        <f t="shared" si="0"/>
        <v>0</v>
      </c>
      <c r="L18" s="812">
        <f t="shared" si="0"/>
        <v>30</v>
      </c>
      <c r="M18" s="812">
        <f t="shared" si="0"/>
        <v>0</v>
      </c>
      <c r="N18" s="812">
        <f t="shared" si="0"/>
        <v>30</v>
      </c>
      <c r="O18" s="812">
        <f t="shared" si="0"/>
        <v>0</v>
      </c>
      <c r="P18" s="812">
        <f t="shared" si="0"/>
        <v>0</v>
      </c>
      <c r="Q18" s="812">
        <f t="shared" si="0"/>
        <v>0</v>
      </c>
      <c r="R18" s="812">
        <f t="shared" si="0"/>
        <v>0</v>
      </c>
      <c r="S18" s="812">
        <f t="shared" si="0"/>
        <v>0</v>
      </c>
      <c r="T18" s="812">
        <f t="shared" si="0"/>
        <v>0</v>
      </c>
      <c r="U18" s="811">
        <f t="shared" si="2"/>
        <v>85</v>
      </c>
      <c r="V18" s="813"/>
      <c r="W18" s="813"/>
      <c r="X18" s="813"/>
      <c r="Y18" s="813"/>
      <c r="Z18" s="813"/>
      <c r="AA18" s="813">
        <v>25</v>
      </c>
      <c r="AB18" s="813"/>
      <c r="AC18" s="813">
        <v>30</v>
      </c>
      <c r="AD18" s="813"/>
      <c r="AE18" s="813">
        <v>30</v>
      </c>
      <c r="AF18" s="813"/>
      <c r="AG18" s="813"/>
      <c r="AH18" s="813"/>
      <c r="AI18" s="814"/>
      <c r="AJ18" s="813"/>
      <c r="AK18" s="814"/>
      <c r="AL18" s="813">
        <f t="shared" si="3"/>
        <v>0</v>
      </c>
      <c r="AM18" s="812"/>
      <c r="AN18" s="812"/>
      <c r="AO18" s="812"/>
      <c r="AP18" s="812"/>
      <c r="AQ18" s="812"/>
      <c r="AR18" s="812"/>
      <c r="AS18" s="812"/>
      <c r="AT18" s="812"/>
      <c r="AU18" s="812"/>
      <c r="AV18" s="812"/>
      <c r="AW18" s="812"/>
      <c r="AX18" s="812"/>
      <c r="AY18" s="812"/>
      <c r="AZ18" s="812"/>
      <c r="BA18" s="815"/>
    </row>
    <row r="19" spans="1:53" x14ac:dyDescent="0.25">
      <c r="A19" s="931">
        <v>12</v>
      </c>
      <c r="B19" s="809" t="s">
        <v>189</v>
      </c>
      <c r="C19" s="810" t="s">
        <v>190</v>
      </c>
      <c r="D19" s="811">
        <f t="shared" si="1"/>
        <v>120</v>
      </c>
      <c r="E19" s="812">
        <f t="shared" si="0"/>
        <v>30</v>
      </c>
      <c r="F19" s="812">
        <f t="shared" si="0"/>
        <v>30</v>
      </c>
      <c r="G19" s="812">
        <f t="shared" si="0"/>
        <v>0</v>
      </c>
      <c r="H19" s="812">
        <f t="shared" si="0"/>
        <v>0</v>
      </c>
      <c r="I19" s="812">
        <f t="shared" si="0"/>
        <v>30</v>
      </c>
      <c r="J19" s="812">
        <f t="shared" si="0"/>
        <v>30</v>
      </c>
      <c r="K19" s="812">
        <f t="shared" si="0"/>
        <v>0</v>
      </c>
      <c r="L19" s="812">
        <f t="shared" si="0"/>
        <v>0</v>
      </c>
      <c r="M19" s="812">
        <f t="shared" si="0"/>
        <v>0</v>
      </c>
      <c r="N19" s="812">
        <f t="shared" si="0"/>
        <v>0</v>
      </c>
      <c r="O19" s="812">
        <f t="shared" si="0"/>
        <v>0</v>
      </c>
      <c r="P19" s="812">
        <f t="shared" si="0"/>
        <v>0</v>
      </c>
      <c r="Q19" s="812">
        <f t="shared" si="0"/>
        <v>0</v>
      </c>
      <c r="R19" s="812">
        <f t="shared" si="0"/>
        <v>0</v>
      </c>
      <c r="S19" s="812">
        <f t="shared" si="0"/>
        <v>0</v>
      </c>
      <c r="T19" s="812">
        <f t="shared" si="0"/>
        <v>0</v>
      </c>
      <c r="U19" s="811">
        <f t="shared" si="2"/>
        <v>120</v>
      </c>
      <c r="V19" s="813">
        <v>30</v>
      </c>
      <c r="W19" s="813">
        <v>30</v>
      </c>
      <c r="X19" s="813"/>
      <c r="Y19" s="813"/>
      <c r="Z19" s="813">
        <v>30</v>
      </c>
      <c r="AA19" s="813">
        <v>30</v>
      </c>
      <c r="AB19" s="813"/>
      <c r="AC19" s="813"/>
      <c r="AD19" s="813"/>
      <c r="AE19" s="813"/>
      <c r="AF19" s="813"/>
      <c r="AG19" s="813"/>
      <c r="AH19" s="813"/>
      <c r="AI19" s="814"/>
      <c r="AJ19" s="813"/>
      <c r="AK19" s="814"/>
      <c r="AL19" s="813">
        <f t="shared" si="3"/>
        <v>0</v>
      </c>
      <c r="AM19" s="812"/>
      <c r="AN19" s="812"/>
      <c r="AO19" s="812"/>
      <c r="AP19" s="812"/>
      <c r="AQ19" s="812"/>
      <c r="AR19" s="812"/>
      <c r="AS19" s="812"/>
      <c r="AT19" s="812"/>
      <c r="AU19" s="812"/>
      <c r="AV19" s="812"/>
      <c r="AW19" s="812"/>
      <c r="AX19" s="812"/>
      <c r="AY19" s="812"/>
      <c r="AZ19" s="812"/>
      <c r="BA19" s="815"/>
    </row>
    <row r="20" spans="1:53" ht="21" customHeight="1" x14ac:dyDescent="0.25">
      <c r="A20" s="931">
        <v>13</v>
      </c>
      <c r="B20" s="809" t="s">
        <v>107</v>
      </c>
      <c r="C20" s="810" t="s">
        <v>108</v>
      </c>
      <c r="D20" s="811">
        <f t="shared" si="1"/>
        <v>120</v>
      </c>
      <c r="E20" s="812">
        <f t="shared" si="0"/>
        <v>30</v>
      </c>
      <c r="F20" s="812">
        <f t="shared" si="0"/>
        <v>0</v>
      </c>
      <c r="G20" s="812">
        <f t="shared" si="0"/>
        <v>0</v>
      </c>
      <c r="H20" s="812">
        <f t="shared" si="0"/>
        <v>0</v>
      </c>
      <c r="I20" s="812">
        <f t="shared" si="0"/>
        <v>30</v>
      </c>
      <c r="J20" s="812">
        <f t="shared" si="0"/>
        <v>0</v>
      </c>
      <c r="K20" s="812">
        <f t="shared" si="0"/>
        <v>30</v>
      </c>
      <c r="L20" s="812">
        <f t="shared" si="0"/>
        <v>0</v>
      </c>
      <c r="M20" s="812">
        <f t="shared" si="0"/>
        <v>30</v>
      </c>
      <c r="N20" s="812">
        <f t="shared" si="0"/>
        <v>0</v>
      </c>
      <c r="O20" s="812">
        <f t="shared" si="0"/>
        <v>0</v>
      </c>
      <c r="P20" s="812">
        <f t="shared" si="0"/>
        <v>0</v>
      </c>
      <c r="Q20" s="812">
        <f t="shared" si="0"/>
        <v>0</v>
      </c>
      <c r="R20" s="812">
        <f t="shared" si="0"/>
        <v>0</v>
      </c>
      <c r="S20" s="812">
        <f t="shared" si="0"/>
        <v>0</v>
      </c>
      <c r="T20" s="812">
        <f t="shared" si="0"/>
        <v>0</v>
      </c>
      <c r="U20" s="811">
        <f t="shared" si="2"/>
        <v>120</v>
      </c>
      <c r="V20" s="813">
        <v>30</v>
      </c>
      <c r="W20" s="813"/>
      <c r="X20" s="813"/>
      <c r="Y20" s="813"/>
      <c r="Z20" s="813">
        <v>30</v>
      </c>
      <c r="AA20" s="813"/>
      <c r="AB20" s="813">
        <v>30</v>
      </c>
      <c r="AC20" s="813"/>
      <c r="AD20" s="813">
        <v>30</v>
      </c>
      <c r="AE20" s="813"/>
      <c r="AF20" s="813"/>
      <c r="AG20" s="813"/>
      <c r="AH20" s="813"/>
      <c r="AI20" s="814"/>
      <c r="AJ20" s="813"/>
      <c r="AK20" s="814"/>
      <c r="AL20" s="813">
        <f t="shared" si="3"/>
        <v>0</v>
      </c>
      <c r="AM20" s="812"/>
      <c r="AN20" s="812"/>
      <c r="AO20" s="812"/>
      <c r="AP20" s="812"/>
      <c r="AQ20" s="812"/>
      <c r="AR20" s="812"/>
      <c r="AS20" s="812"/>
      <c r="AT20" s="812"/>
      <c r="AU20" s="812"/>
      <c r="AV20" s="812"/>
      <c r="AW20" s="812"/>
      <c r="AX20" s="812"/>
      <c r="AY20" s="812"/>
      <c r="AZ20" s="812"/>
      <c r="BA20" s="815"/>
    </row>
    <row r="21" spans="1:53" x14ac:dyDescent="0.25">
      <c r="A21" s="931">
        <v>14</v>
      </c>
      <c r="B21" s="809" t="s">
        <v>167</v>
      </c>
      <c r="C21" s="810" t="s">
        <v>539</v>
      </c>
      <c r="D21" s="811">
        <f t="shared" si="1"/>
        <v>60</v>
      </c>
      <c r="E21" s="812">
        <f t="shared" si="0"/>
        <v>20</v>
      </c>
      <c r="F21" s="812">
        <f t="shared" si="0"/>
        <v>0</v>
      </c>
      <c r="G21" s="812">
        <f t="shared" si="0"/>
        <v>10</v>
      </c>
      <c r="H21" s="812">
        <f t="shared" si="0"/>
        <v>0</v>
      </c>
      <c r="I21" s="812">
        <f t="shared" si="0"/>
        <v>0</v>
      </c>
      <c r="J21" s="812">
        <f t="shared" si="0"/>
        <v>0</v>
      </c>
      <c r="K21" s="812">
        <f t="shared" si="0"/>
        <v>20</v>
      </c>
      <c r="L21" s="812">
        <f t="shared" si="0"/>
        <v>0</v>
      </c>
      <c r="M21" s="812">
        <f t="shared" si="0"/>
        <v>10</v>
      </c>
      <c r="N21" s="812">
        <f t="shared" si="0"/>
        <v>0</v>
      </c>
      <c r="O21" s="812">
        <f t="shared" si="0"/>
        <v>0</v>
      </c>
      <c r="P21" s="812">
        <f t="shared" si="0"/>
        <v>0</v>
      </c>
      <c r="Q21" s="812">
        <f t="shared" si="0"/>
        <v>0</v>
      </c>
      <c r="R21" s="812">
        <f t="shared" si="0"/>
        <v>0</v>
      </c>
      <c r="S21" s="812">
        <f t="shared" si="0"/>
        <v>0</v>
      </c>
      <c r="T21" s="812">
        <f t="shared" si="0"/>
        <v>0</v>
      </c>
      <c r="U21" s="811">
        <f t="shared" si="2"/>
        <v>60</v>
      </c>
      <c r="V21" s="813">
        <v>20</v>
      </c>
      <c r="W21" s="813"/>
      <c r="X21" s="813">
        <v>10</v>
      </c>
      <c r="Y21" s="813"/>
      <c r="Z21" s="813"/>
      <c r="AA21" s="813"/>
      <c r="AB21" s="813">
        <v>20</v>
      </c>
      <c r="AC21" s="813"/>
      <c r="AD21" s="813">
        <v>10</v>
      </c>
      <c r="AE21" s="813"/>
      <c r="AF21" s="813"/>
      <c r="AG21" s="813"/>
      <c r="AH21" s="813"/>
      <c r="AI21" s="814"/>
      <c r="AJ21" s="813"/>
      <c r="AK21" s="814"/>
      <c r="AL21" s="813">
        <f t="shared" si="3"/>
        <v>0</v>
      </c>
      <c r="AM21" s="812"/>
      <c r="AN21" s="812"/>
      <c r="AO21" s="812"/>
      <c r="AP21" s="812"/>
      <c r="AQ21" s="812"/>
      <c r="AR21" s="812"/>
      <c r="AS21" s="812"/>
      <c r="AT21" s="812"/>
      <c r="AU21" s="812"/>
      <c r="AV21" s="812"/>
      <c r="AW21" s="812"/>
      <c r="AX21" s="812"/>
      <c r="AY21" s="812"/>
      <c r="AZ21" s="812"/>
      <c r="BA21" s="815"/>
    </row>
    <row r="22" spans="1:53" x14ac:dyDescent="0.25">
      <c r="A22" s="931">
        <v>15</v>
      </c>
      <c r="B22" s="809" t="s">
        <v>79</v>
      </c>
      <c r="C22" s="810" t="s">
        <v>80</v>
      </c>
      <c r="D22" s="811">
        <f t="shared" si="1"/>
        <v>200</v>
      </c>
      <c r="E22" s="812">
        <f t="shared" si="0"/>
        <v>20</v>
      </c>
      <c r="F22" s="812">
        <f t="shared" si="0"/>
        <v>20</v>
      </c>
      <c r="G22" s="812">
        <f t="shared" si="0"/>
        <v>20</v>
      </c>
      <c r="H22" s="812">
        <f t="shared" si="0"/>
        <v>20</v>
      </c>
      <c r="I22" s="812">
        <f t="shared" si="0"/>
        <v>20</v>
      </c>
      <c r="J22" s="812">
        <f t="shared" si="0"/>
        <v>20</v>
      </c>
      <c r="K22" s="812">
        <f t="shared" si="0"/>
        <v>20</v>
      </c>
      <c r="L22" s="812">
        <f t="shared" si="0"/>
        <v>20</v>
      </c>
      <c r="M22" s="812">
        <f t="shared" si="0"/>
        <v>20</v>
      </c>
      <c r="N22" s="812">
        <f t="shared" si="0"/>
        <v>20</v>
      </c>
      <c r="O22" s="812">
        <f t="shared" si="0"/>
        <v>0</v>
      </c>
      <c r="P22" s="812">
        <f t="shared" si="0"/>
        <v>0</v>
      </c>
      <c r="Q22" s="812">
        <f t="shared" si="0"/>
        <v>0</v>
      </c>
      <c r="R22" s="812">
        <f t="shared" si="0"/>
        <v>0</v>
      </c>
      <c r="S22" s="812">
        <f t="shared" si="0"/>
        <v>0</v>
      </c>
      <c r="T22" s="812">
        <f t="shared" si="0"/>
        <v>0</v>
      </c>
      <c r="U22" s="811">
        <f t="shared" si="2"/>
        <v>200</v>
      </c>
      <c r="V22" s="813">
        <v>20</v>
      </c>
      <c r="W22" s="813">
        <v>20</v>
      </c>
      <c r="X22" s="813">
        <v>20</v>
      </c>
      <c r="Y22" s="813">
        <v>20</v>
      </c>
      <c r="Z22" s="813">
        <v>20</v>
      </c>
      <c r="AA22" s="813">
        <v>20</v>
      </c>
      <c r="AB22" s="813">
        <v>20</v>
      </c>
      <c r="AC22" s="813">
        <v>20</v>
      </c>
      <c r="AD22" s="813">
        <v>20</v>
      </c>
      <c r="AE22" s="813">
        <v>20</v>
      </c>
      <c r="AF22" s="813"/>
      <c r="AG22" s="813"/>
      <c r="AH22" s="813"/>
      <c r="AI22" s="814"/>
      <c r="AJ22" s="813"/>
      <c r="AK22" s="814"/>
      <c r="AL22" s="813">
        <f t="shared" si="3"/>
        <v>0</v>
      </c>
      <c r="AM22" s="812"/>
      <c r="AN22" s="812"/>
      <c r="AO22" s="812"/>
      <c r="AP22" s="812"/>
      <c r="AQ22" s="812"/>
      <c r="AR22" s="812"/>
      <c r="AS22" s="812"/>
      <c r="AT22" s="812"/>
      <c r="AU22" s="812"/>
      <c r="AV22" s="812"/>
      <c r="AW22" s="812"/>
      <c r="AX22" s="812"/>
      <c r="AY22" s="812"/>
      <c r="AZ22" s="812"/>
      <c r="BA22" s="815"/>
    </row>
    <row r="23" spans="1:53" x14ac:dyDescent="0.25">
      <c r="A23" s="931">
        <v>16</v>
      </c>
      <c r="B23" s="809" t="s">
        <v>173</v>
      </c>
      <c r="C23" s="810" t="s">
        <v>540</v>
      </c>
      <c r="D23" s="811">
        <f t="shared" si="1"/>
        <v>100</v>
      </c>
      <c r="E23" s="812">
        <f t="shared" si="0"/>
        <v>10</v>
      </c>
      <c r="F23" s="812">
        <f t="shared" si="0"/>
        <v>10</v>
      </c>
      <c r="G23" s="812">
        <f t="shared" si="0"/>
        <v>10</v>
      </c>
      <c r="H23" s="812">
        <f t="shared" si="0"/>
        <v>10</v>
      </c>
      <c r="I23" s="812">
        <f t="shared" si="0"/>
        <v>10</v>
      </c>
      <c r="J23" s="812">
        <f t="shared" si="0"/>
        <v>10</v>
      </c>
      <c r="K23" s="812">
        <f t="shared" si="0"/>
        <v>10</v>
      </c>
      <c r="L23" s="812">
        <f t="shared" si="0"/>
        <v>10</v>
      </c>
      <c r="M23" s="812">
        <f t="shared" si="0"/>
        <v>10</v>
      </c>
      <c r="N23" s="812">
        <f t="shared" si="0"/>
        <v>10</v>
      </c>
      <c r="O23" s="812">
        <f t="shared" si="0"/>
        <v>0</v>
      </c>
      <c r="P23" s="812">
        <f t="shared" si="0"/>
        <v>0</v>
      </c>
      <c r="Q23" s="812">
        <f t="shared" si="0"/>
        <v>0</v>
      </c>
      <c r="R23" s="812">
        <f t="shared" si="0"/>
        <v>0</v>
      </c>
      <c r="S23" s="812">
        <f t="shared" si="0"/>
        <v>0</v>
      </c>
      <c r="T23" s="812">
        <f t="shared" ref="T23:T38" si="4">AK23+BB23</f>
        <v>0</v>
      </c>
      <c r="U23" s="811">
        <f t="shared" si="2"/>
        <v>100</v>
      </c>
      <c r="V23" s="813">
        <v>10</v>
      </c>
      <c r="W23" s="813">
        <v>10</v>
      </c>
      <c r="X23" s="813">
        <v>10</v>
      </c>
      <c r="Y23" s="813">
        <v>10</v>
      </c>
      <c r="Z23" s="813">
        <v>10</v>
      </c>
      <c r="AA23" s="813">
        <v>10</v>
      </c>
      <c r="AB23" s="813">
        <v>10</v>
      </c>
      <c r="AC23" s="813">
        <v>10</v>
      </c>
      <c r="AD23" s="813">
        <v>10</v>
      </c>
      <c r="AE23" s="813">
        <v>10</v>
      </c>
      <c r="AF23" s="813"/>
      <c r="AG23" s="813"/>
      <c r="AH23" s="813"/>
      <c r="AI23" s="814"/>
      <c r="AJ23" s="813"/>
      <c r="AK23" s="814"/>
      <c r="AL23" s="813">
        <f t="shared" si="3"/>
        <v>0</v>
      </c>
      <c r="AM23" s="812"/>
      <c r="AN23" s="812"/>
      <c r="AO23" s="812"/>
      <c r="AP23" s="812"/>
      <c r="AQ23" s="812"/>
      <c r="AR23" s="812"/>
      <c r="AS23" s="812"/>
      <c r="AT23" s="812"/>
      <c r="AU23" s="812"/>
      <c r="AV23" s="812"/>
      <c r="AW23" s="812"/>
      <c r="AX23" s="812"/>
      <c r="AY23" s="812"/>
      <c r="AZ23" s="812"/>
      <c r="BA23" s="815"/>
    </row>
    <row r="24" spans="1:53" x14ac:dyDescent="0.25">
      <c r="A24" s="931">
        <v>17</v>
      </c>
      <c r="B24" s="809" t="s">
        <v>163</v>
      </c>
      <c r="C24" s="810" t="s">
        <v>541</v>
      </c>
      <c r="D24" s="811">
        <f t="shared" si="1"/>
        <v>100</v>
      </c>
      <c r="E24" s="812">
        <f t="shared" ref="E24:S38" si="5">V24+AM24</f>
        <v>25</v>
      </c>
      <c r="F24" s="812">
        <f t="shared" si="5"/>
        <v>5</v>
      </c>
      <c r="G24" s="812">
        <f t="shared" si="5"/>
        <v>0</v>
      </c>
      <c r="H24" s="812">
        <f t="shared" si="5"/>
        <v>0</v>
      </c>
      <c r="I24" s="812">
        <f t="shared" si="5"/>
        <v>25</v>
      </c>
      <c r="J24" s="812">
        <f t="shared" si="5"/>
        <v>5</v>
      </c>
      <c r="K24" s="812">
        <f t="shared" si="5"/>
        <v>30</v>
      </c>
      <c r="L24" s="812">
        <f t="shared" si="5"/>
        <v>10</v>
      </c>
      <c r="M24" s="812">
        <f t="shared" si="5"/>
        <v>0</v>
      </c>
      <c r="N24" s="812">
        <f t="shared" si="5"/>
        <v>0</v>
      </c>
      <c r="O24" s="812">
        <f t="shared" si="5"/>
        <v>0</v>
      </c>
      <c r="P24" s="812">
        <f t="shared" si="5"/>
        <v>0</v>
      </c>
      <c r="Q24" s="812">
        <f t="shared" si="5"/>
        <v>0</v>
      </c>
      <c r="R24" s="812">
        <f t="shared" si="5"/>
        <v>0</v>
      </c>
      <c r="S24" s="812">
        <f t="shared" si="5"/>
        <v>0</v>
      </c>
      <c r="T24" s="812">
        <f t="shared" si="4"/>
        <v>0</v>
      </c>
      <c r="U24" s="811">
        <f t="shared" si="2"/>
        <v>100</v>
      </c>
      <c r="V24" s="813">
        <v>25</v>
      </c>
      <c r="W24" s="813">
        <v>5</v>
      </c>
      <c r="X24" s="813"/>
      <c r="Y24" s="813"/>
      <c r="Z24" s="813">
        <v>25</v>
      </c>
      <c r="AA24" s="813">
        <v>5</v>
      </c>
      <c r="AB24" s="813">
        <v>30</v>
      </c>
      <c r="AC24" s="813">
        <v>10</v>
      </c>
      <c r="AD24" s="813"/>
      <c r="AE24" s="813"/>
      <c r="AF24" s="813"/>
      <c r="AG24" s="813"/>
      <c r="AH24" s="813"/>
      <c r="AI24" s="814"/>
      <c r="AJ24" s="813"/>
      <c r="AK24" s="814"/>
      <c r="AL24" s="813">
        <f t="shared" si="3"/>
        <v>0</v>
      </c>
      <c r="AM24" s="812"/>
      <c r="AN24" s="812"/>
      <c r="AO24" s="812"/>
      <c r="AP24" s="812"/>
      <c r="AQ24" s="812"/>
      <c r="AR24" s="812"/>
      <c r="AS24" s="812"/>
      <c r="AT24" s="812"/>
      <c r="AU24" s="812"/>
      <c r="AV24" s="812"/>
      <c r="AW24" s="812"/>
      <c r="AX24" s="812"/>
      <c r="AY24" s="812"/>
      <c r="AZ24" s="812"/>
      <c r="BA24" s="815"/>
    </row>
    <row r="25" spans="1:53" x14ac:dyDescent="0.25">
      <c r="A25" s="931">
        <v>18</v>
      </c>
      <c r="B25" s="809" t="s">
        <v>165</v>
      </c>
      <c r="C25" s="810" t="s">
        <v>542</v>
      </c>
      <c r="D25" s="811">
        <f t="shared" si="1"/>
        <v>260</v>
      </c>
      <c r="E25" s="812">
        <f t="shared" si="5"/>
        <v>0</v>
      </c>
      <c r="F25" s="812">
        <f t="shared" si="5"/>
        <v>0</v>
      </c>
      <c r="G25" s="812">
        <f t="shared" si="5"/>
        <v>0</v>
      </c>
      <c r="H25" s="812">
        <f t="shared" si="5"/>
        <v>0</v>
      </c>
      <c r="I25" s="812">
        <f t="shared" si="5"/>
        <v>130</v>
      </c>
      <c r="J25" s="812">
        <f t="shared" si="5"/>
        <v>130</v>
      </c>
      <c r="K25" s="812">
        <f t="shared" si="5"/>
        <v>0</v>
      </c>
      <c r="L25" s="812">
        <f t="shared" si="5"/>
        <v>0</v>
      </c>
      <c r="M25" s="812">
        <f t="shared" si="5"/>
        <v>0</v>
      </c>
      <c r="N25" s="812">
        <f t="shared" si="5"/>
        <v>0</v>
      </c>
      <c r="O25" s="812">
        <f t="shared" si="5"/>
        <v>0</v>
      </c>
      <c r="P25" s="812">
        <f t="shared" si="5"/>
        <v>0</v>
      </c>
      <c r="Q25" s="812">
        <f t="shared" si="5"/>
        <v>0</v>
      </c>
      <c r="R25" s="812">
        <f t="shared" si="5"/>
        <v>0</v>
      </c>
      <c r="S25" s="812">
        <f t="shared" si="5"/>
        <v>0</v>
      </c>
      <c r="T25" s="812">
        <f t="shared" si="4"/>
        <v>0</v>
      </c>
      <c r="U25" s="811">
        <f t="shared" si="2"/>
        <v>260</v>
      </c>
      <c r="V25" s="813"/>
      <c r="W25" s="813"/>
      <c r="X25" s="813"/>
      <c r="Y25" s="813"/>
      <c r="Z25" s="813">
        <v>130</v>
      </c>
      <c r="AA25" s="813">
        <v>130</v>
      </c>
      <c r="AB25" s="813"/>
      <c r="AC25" s="813"/>
      <c r="AD25" s="813"/>
      <c r="AE25" s="813"/>
      <c r="AF25" s="813"/>
      <c r="AG25" s="813"/>
      <c r="AH25" s="813"/>
      <c r="AI25" s="814"/>
      <c r="AJ25" s="813"/>
      <c r="AK25" s="814"/>
      <c r="AL25" s="813">
        <f t="shared" si="3"/>
        <v>0</v>
      </c>
      <c r="AM25" s="812"/>
      <c r="AN25" s="812"/>
      <c r="AO25" s="812"/>
      <c r="AP25" s="812"/>
      <c r="AQ25" s="812"/>
      <c r="AR25" s="812"/>
      <c r="AS25" s="812"/>
      <c r="AT25" s="812"/>
      <c r="AU25" s="812"/>
      <c r="AV25" s="812"/>
      <c r="AW25" s="812"/>
      <c r="AX25" s="812"/>
      <c r="AY25" s="812"/>
      <c r="AZ25" s="812"/>
      <c r="BA25" s="815"/>
    </row>
    <row r="26" spans="1:53" x14ac:dyDescent="0.25">
      <c r="A26" s="931">
        <v>19</v>
      </c>
      <c r="B26" s="809" t="s">
        <v>169</v>
      </c>
      <c r="C26" s="810" t="s">
        <v>402</v>
      </c>
      <c r="D26" s="811">
        <f t="shared" si="1"/>
        <v>207</v>
      </c>
      <c r="E26" s="812">
        <f t="shared" si="5"/>
        <v>107</v>
      </c>
      <c r="F26" s="812">
        <f t="shared" si="5"/>
        <v>0</v>
      </c>
      <c r="G26" s="812">
        <f t="shared" si="5"/>
        <v>0</v>
      </c>
      <c r="H26" s="812">
        <f t="shared" si="5"/>
        <v>0</v>
      </c>
      <c r="I26" s="812">
        <f t="shared" si="5"/>
        <v>50</v>
      </c>
      <c r="J26" s="812">
        <f t="shared" si="5"/>
        <v>0</v>
      </c>
      <c r="K26" s="812">
        <f t="shared" si="5"/>
        <v>50</v>
      </c>
      <c r="L26" s="812">
        <f t="shared" si="5"/>
        <v>0</v>
      </c>
      <c r="M26" s="812">
        <f t="shared" si="5"/>
        <v>0</v>
      </c>
      <c r="N26" s="812">
        <f t="shared" si="5"/>
        <v>0</v>
      </c>
      <c r="O26" s="812">
        <f t="shared" si="5"/>
        <v>0</v>
      </c>
      <c r="P26" s="812">
        <f t="shared" si="5"/>
        <v>0</v>
      </c>
      <c r="Q26" s="812">
        <f t="shared" si="5"/>
        <v>0</v>
      </c>
      <c r="R26" s="812">
        <f t="shared" si="5"/>
        <v>0</v>
      </c>
      <c r="S26" s="812">
        <f t="shared" si="5"/>
        <v>0</v>
      </c>
      <c r="T26" s="812">
        <f t="shared" si="4"/>
        <v>0</v>
      </c>
      <c r="U26" s="811">
        <f t="shared" si="2"/>
        <v>207</v>
      </c>
      <c r="V26" s="813">
        <v>107</v>
      </c>
      <c r="W26" s="813"/>
      <c r="X26" s="813"/>
      <c r="Y26" s="813"/>
      <c r="Z26" s="813">
        <v>50</v>
      </c>
      <c r="AA26" s="813"/>
      <c r="AB26" s="813">
        <v>50</v>
      </c>
      <c r="AC26" s="813"/>
      <c r="AD26" s="813"/>
      <c r="AE26" s="813"/>
      <c r="AF26" s="813"/>
      <c r="AG26" s="813"/>
      <c r="AH26" s="813"/>
      <c r="AI26" s="814"/>
      <c r="AJ26" s="813"/>
      <c r="AK26" s="814"/>
      <c r="AL26" s="813">
        <f t="shared" si="3"/>
        <v>0</v>
      </c>
      <c r="AM26" s="812"/>
      <c r="AN26" s="812"/>
      <c r="AO26" s="812"/>
      <c r="AP26" s="812"/>
      <c r="AQ26" s="812"/>
      <c r="AR26" s="812"/>
      <c r="AS26" s="812"/>
      <c r="AT26" s="812"/>
      <c r="AU26" s="812"/>
      <c r="AV26" s="812"/>
      <c r="AW26" s="812"/>
      <c r="AX26" s="812"/>
      <c r="AY26" s="812"/>
      <c r="AZ26" s="812"/>
      <c r="BA26" s="815"/>
    </row>
    <row r="27" spans="1:53" x14ac:dyDescent="0.25">
      <c r="A27" s="931">
        <v>20</v>
      </c>
      <c r="B27" s="809" t="s">
        <v>278</v>
      </c>
      <c r="C27" s="810" t="s">
        <v>523</v>
      </c>
      <c r="D27" s="811">
        <f t="shared" si="1"/>
        <v>74</v>
      </c>
      <c r="E27" s="812">
        <f t="shared" si="5"/>
        <v>25</v>
      </c>
      <c r="F27" s="812">
        <f t="shared" si="5"/>
        <v>10</v>
      </c>
      <c r="G27" s="812">
        <f t="shared" si="5"/>
        <v>5</v>
      </c>
      <c r="H27" s="812">
        <f t="shared" si="5"/>
        <v>2</v>
      </c>
      <c r="I27" s="812">
        <f t="shared" si="5"/>
        <v>0</v>
      </c>
      <c r="J27" s="812">
        <f t="shared" si="5"/>
        <v>22</v>
      </c>
      <c r="K27" s="812">
        <f t="shared" si="5"/>
        <v>0</v>
      </c>
      <c r="L27" s="812">
        <f t="shared" si="5"/>
        <v>0</v>
      </c>
      <c r="M27" s="812">
        <f t="shared" si="5"/>
        <v>0</v>
      </c>
      <c r="N27" s="812">
        <f t="shared" si="5"/>
        <v>0</v>
      </c>
      <c r="O27" s="812">
        <f t="shared" si="5"/>
        <v>5</v>
      </c>
      <c r="P27" s="812">
        <f t="shared" si="5"/>
        <v>5</v>
      </c>
      <c r="Q27" s="812">
        <f t="shared" si="5"/>
        <v>0</v>
      </c>
      <c r="R27" s="812">
        <f t="shared" si="5"/>
        <v>0</v>
      </c>
      <c r="S27" s="812">
        <f t="shared" si="5"/>
        <v>0</v>
      </c>
      <c r="T27" s="812">
        <f t="shared" si="4"/>
        <v>0</v>
      </c>
      <c r="U27" s="811">
        <f t="shared" si="2"/>
        <v>74</v>
      </c>
      <c r="V27" s="813">
        <v>25</v>
      </c>
      <c r="W27" s="813">
        <v>10</v>
      </c>
      <c r="X27" s="813">
        <v>5</v>
      </c>
      <c r="Y27" s="813">
        <v>2</v>
      </c>
      <c r="Z27" s="813"/>
      <c r="AA27" s="813">
        <v>22</v>
      </c>
      <c r="AB27" s="813"/>
      <c r="AC27" s="813"/>
      <c r="AD27" s="813"/>
      <c r="AE27" s="813"/>
      <c r="AF27" s="813">
        <v>5</v>
      </c>
      <c r="AG27" s="813">
        <v>5</v>
      </c>
      <c r="AH27" s="813"/>
      <c r="AI27" s="814"/>
      <c r="AJ27" s="813"/>
      <c r="AK27" s="814"/>
      <c r="AL27" s="813">
        <f t="shared" si="3"/>
        <v>0</v>
      </c>
      <c r="AM27" s="812"/>
      <c r="AN27" s="812"/>
      <c r="AO27" s="812"/>
      <c r="AP27" s="812"/>
      <c r="AQ27" s="812"/>
      <c r="AR27" s="812"/>
      <c r="AS27" s="812"/>
      <c r="AT27" s="812"/>
      <c r="AU27" s="812"/>
      <c r="AV27" s="812"/>
      <c r="AW27" s="812"/>
      <c r="AX27" s="812"/>
      <c r="AY27" s="812"/>
      <c r="AZ27" s="812"/>
      <c r="BA27" s="815"/>
    </row>
    <row r="28" spans="1:53" x14ac:dyDescent="0.25">
      <c r="A28" s="931">
        <v>21</v>
      </c>
      <c r="B28" s="809" t="s">
        <v>83</v>
      </c>
      <c r="C28" s="810" t="s">
        <v>84</v>
      </c>
      <c r="D28" s="811">
        <f t="shared" si="1"/>
        <v>250</v>
      </c>
      <c r="E28" s="812">
        <f t="shared" si="5"/>
        <v>0</v>
      </c>
      <c r="F28" s="812">
        <f t="shared" si="5"/>
        <v>0</v>
      </c>
      <c r="G28" s="812">
        <f t="shared" si="5"/>
        <v>0</v>
      </c>
      <c r="H28" s="812">
        <f t="shared" si="5"/>
        <v>0</v>
      </c>
      <c r="I28" s="812">
        <f t="shared" si="5"/>
        <v>45</v>
      </c>
      <c r="J28" s="812">
        <f t="shared" si="5"/>
        <v>45</v>
      </c>
      <c r="K28" s="812">
        <f t="shared" si="5"/>
        <v>45</v>
      </c>
      <c r="L28" s="812">
        <f t="shared" si="5"/>
        <v>45</v>
      </c>
      <c r="M28" s="812">
        <f t="shared" si="5"/>
        <v>35</v>
      </c>
      <c r="N28" s="812">
        <f t="shared" si="5"/>
        <v>35</v>
      </c>
      <c r="O28" s="812">
        <f t="shared" si="5"/>
        <v>0</v>
      </c>
      <c r="P28" s="812">
        <f t="shared" si="5"/>
        <v>0</v>
      </c>
      <c r="Q28" s="812">
        <f t="shared" si="5"/>
        <v>0</v>
      </c>
      <c r="R28" s="812">
        <f t="shared" si="5"/>
        <v>0</v>
      </c>
      <c r="S28" s="812">
        <f t="shared" si="5"/>
        <v>0</v>
      </c>
      <c r="T28" s="812">
        <f t="shared" si="4"/>
        <v>0</v>
      </c>
      <c r="U28" s="811">
        <f t="shared" si="2"/>
        <v>250</v>
      </c>
      <c r="V28" s="813"/>
      <c r="W28" s="813"/>
      <c r="X28" s="813"/>
      <c r="Y28" s="813"/>
      <c r="Z28" s="813">
        <v>45</v>
      </c>
      <c r="AA28" s="813">
        <v>45</v>
      </c>
      <c r="AB28" s="813">
        <v>45</v>
      </c>
      <c r="AC28" s="813">
        <v>45</v>
      </c>
      <c r="AD28" s="813">
        <v>35</v>
      </c>
      <c r="AE28" s="813">
        <v>35</v>
      </c>
      <c r="AF28" s="813"/>
      <c r="AG28" s="813"/>
      <c r="AH28" s="813"/>
      <c r="AI28" s="814"/>
      <c r="AJ28" s="813"/>
      <c r="AK28" s="814"/>
      <c r="AL28" s="813">
        <f t="shared" si="3"/>
        <v>0</v>
      </c>
      <c r="AM28" s="812"/>
      <c r="AN28" s="812"/>
      <c r="AO28" s="812"/>
      <c r="AP28" s="812"/>
      <c r="AQ28" s="812"/>
      <c r="AR28" s="812"/>
      <c r="AS28" s="812"/>
      <c r="AT28" s="812"/>
      <c r="AU28" s="812"/>
      <c r="AV28" s="812"/>
      <c r="AW28" s="812"/>
      <c r="AX28" s="812"/>
      <c r="AY28" s="812"/>
      <c r="AZ28" s="812"/>
      <c r="BA28" s="815"/>
    </row>
    <row r="29" spans="1:53" x14ac:dyDescent="0.25">
      <c r="A29" s="931">
        <v>22</v>
      </c>
      <c r="B29" s="809" t="s">
        <v>276</v>
      </c>
      <c r="C29" s="810" t="s">
        <v>543</v>
      </c>
      <c r="D29" s="811">
        <f t="shared" si="1"/>
        <v>420</v>
      </c>
      <c r="E29" s="812">
        <f t="shared" si="5"/>
        <v>70</v>
      </c>
      <c r="F29" s="812">
        <f t="shared" si="5"/>
        <v>70</v>
      </c>
      <c r="G29" s="812">
        <f t="shared" si="5"/>
        <v>0</v>
      </c>
      <c r="H29" s="812">
        <f t="shared" si="5"/>
        <v>0</v>
      </c>
      <c r="I29" s="812">
        <f t="shared" si="5"/>
        <v>0</v>
      </c>
      <c r="J29" s="812">
        <f t="shared" si="5"/>
        <v>0</v>
      </c>
      <c r="K29" s="812">
        <f t="shared" si="5"/>
        <v>0</v>
      </c>
      <c r="L29" s="812">
        <f t="shared" si="5"/>
        <v>0</v>
      </c>
      <c r="M29" s="812">
        <f t="shared" si="5"/>
        <v>70</v>
      </c>
      <c r="N29" s="812">
        <f t="shared" si="5"/>
        <v>70</v>
      </c>
      <c r="O29" s="812">
        <f t="shared" si="5"/>
        <v>70</v>
      </c>
      <c r="P29" s="812">
        <f t="shared" si="5"/>
        <v>70</v>
      </c>
      <c r="Q29" s="812">
        <f t="shared" si="5"/>
        <v>0</v>
      </c>
      <c r="R29" s="812">
        <f t="shared" si="5"/>
        <v>0</v>
      </c>
      <c r="S29" s="812">
        <f t="shared" si="5"/>
        <v>0</v>
      </c>
      <c r="T29" s="812">
        <f t="shared" si="4"/>
        <v>0</v>
      </c>
      <c r="U29" s="811">
        <f t="shared" si="2"/>
        <v>420</v>
      </c>
      <c r="V29" s="813">
        <v>70</v>
      </c>
      <c r="W29" s="813">
        <v>70</v>
      </c>
      <c r="X29" s="813"/>
      <c r="Y29" s="813"/>
      <c r="Z29" s="813"/>
      <c r="AA29" s="813"/>
      <c r="AB29" s="813"/>
      <c r="AC29" s="813"/>
      <c r="AD29" s="813">
        <v>70</v>
      </c>
      <c r="AE29" s="813">
        <v>70</v>
      </c>
      <c r="AF29" s="813">
        <v>70</v>
      </c>
      <c r="AG29" s="813">
        <v>70</v>
      </c>
      <c r="AH29" s="813"/>
      <c r="AI29" s="814"/>
      <c r="AJ29" s="813"/>
      <c r="AK29" s="814"/>
      <c r="AL29" s="813">
        <f t="shared" si="3"/>
        <v>0</v>
      </c>
      <c r="AM29" s="812"/>
      <c r="AN29" s="812"/>
      <c r="AO29" s="812"/>
      <c r="AP29" s="812"/>
      <c r="AQ29" s="812"/>
      <c r="AR29" s="812"/>
      <c r="AS29" s="812"/>
      <c r="AT29" s="812"/>
      <c r="AU29" s="812"/>
      <c r="AV29" s="812"/>
      <c r="AW29" s="812"/>
      <c r="AX29" s="812"/>
      <c r="AY29" s="812"/>
      <c r="AZ29" s="812"/>
      <c r="BA29" s="815"/>
    </row>
    <row r="30" spans="1:53" ht="22.5" x14ac:dyDescent="0.25">
      <c r="A30" s="931">
        <v>23</v>
      </c>
      <c r="B30" s="809" t="s">
        <v>141</v>
      </c>
      <c r="C30" s="810" t="s">
        <v>544</v>
      </c>
      <c r="D30" s="811">
        <f t="shared" si="1"/>
        <v>150</v>
      </c>
      <c r="E30" s="812">
        <f t="shared" si="5"/>
        <v>15</v>
      </c>
      <c r="F30" s="812">
        <f t="shared" si="5"/>
        <v>15</v>
      </c>
      <c r="G30" s="812">
        <f t="shared" si="5"/>
        <v>15</v>
      </c>
      <c r="H30" s="812">
        <f t="shared" si="5"/>
        <v>15</v>
      </c>
      <c r="I30" s="812">
        <f t="shared" si="5"/>
        <v>15</v>
      </c>
      <c r="J30" s="812">
        <f t="shared" si="5"/>
        <v>15</v>
      </c>
      <c r="K30" s="812">
        <f t="shared" si="5"/>
        <v>15</v>
      </c>
      <c r="L30" s="812">
        <f t="shared" si="5"/>
        <v>15</v>
      </c>
      <c r="M30" s="812">
        <f t="shared" si="5"/>
        <v>15</v>
      </c>
      <c r="N30" s="812">
        <f t="shared" si="5"/>
        <v>15</v>
      </c>
      <c r="O30" s="812">
        <f t="shared" si="5"/>
        <v>0</v>
      </c>
      <c r="P30" s="812">
        <f t="shared" si="5"/>
        <v>0</v>
      </c>
      <c r="Q30" s="812">
        <f t="shared" si="5"/>
        <v>0</v>
      </c>
      <c r="R30" s="812">
        <f t="shared" si="5"/>
        <v>0</v>
      </c>
      <c r="S30" s="812">
        <f t="shared" si="5"/>
        <v>0</v>
      </c>
      <c r="T30" s="812">
        <f t="shared" si="4"/>
        <v>0</v>
      </c>
      <c r="U30" s="811">
        <f t="shared" si="2"/>
        <v>150</v>
      </c>
      <c r="V30" s="813">
        <v>15</v>
      </c>
      <c r="W30" s="813">
        <v>15</v>
      </c>
      <c r="X30" s="813">
        <v>15</v>
      </c>
      <c r="Y30" s="813">
        <v>15</v>
      </c>
      <c r="Z30" s="813">
        <v>15</v>
      </c>
      <c r="AA30" s="813">
        <v>15</v>
      </c>
      <c r="AB30" s="813">
        <v>15</v>
      </c>
      <c r="AC30" s="813">
        <v>15</v>
      </c>
      <c r="AD30" s="813">
        <v>15</v>
      </c>
      <c r="AE30" s="813">
        <v>15</v>
      </c>
      <c r="AF30" s="813"/>
      <c r="AG30" s="813"/>
      <c r="AH30" s="813"/>
      <c r="AI30" s="814"/>
      <c r="AJ30" s="813"/>
      <c r="AK30" s="814"/>
      <c r="AL30" s="813">
        <f t="shared" si="3"/>
        <v>0</v>
      </c>
      <c r="AM30" s="812"/>
      <c r="AN30" s="812"/>
      <c r="AO30" s="812"/>
      <c r="AP30" s="812"/>
      <c r="AQ30" s="812"/>
      <c r="AR30" s="812"/>
      <c r="AS30" s="812"/>
      <c r="AT30" s="812"/>
      <c r="AU30" s="812"/>
      <c r="AV30" s="812"/>
      <c r="AW30" s="812"/>
      <c r="AX30" s="812"/>
      <c r="AY30" s="812"/>
      <c r="AZ30" s="812"/>
      <c r="BA30" s="815"/>
    </row>
    <row r="31" spans="1:53" ht="22.5" x14ac:dyDescent="0.25">
      <c r="A31" s="931">
        <v>24</v>
      </c>
      <c r="B31" s="809" t="s">
        <v>143</v>
      </c>
      <c r="C31" s="810" t="s">
        <v>545</v>
      </c>
      <c r="D31" s="811">
        <f t="shared" si="1"/>
        <v>210</v>
      </c>
      <c r="E31" s="812">
        <f t="shared" si="5"/>
        <v>0</v>
      </c>
      <c r="F31" s="812">
        <f t="shared" si="5"/>
        <v>0</v>
      </c>
      <c r="G31" s="812">
        <f t="shared" si="5"/>
        <v>35</v>
      </c>
      <c r="H31" s="812">
        <f t="shared" si="5"/>
        <v>35</v>
      </c>
      <c r="I31" s="812">
        <f t="shared" si="5"/>
        <v>35</v>
      </c>
      <c r="J31" s="812">
        <f t="shared" si="5"/>
        <v>35</v>
      </c>
      <c r="K31" s="812">
        <f t="shared" si="5"/>
        <v>35</v>
      </c>
      <c r="L31" s="812">
        <f t="shared" si="5"/>
        <v>35</v>
      </c>
      <c r="M31" s="812">
        <f t="shared" si="5"/>
        <v>0</v>
      </c>
      <c r="N31" s="812">
        <f t="shared" si="5"/>
        <v>0</v>
      </c>
      <c r="O31" s="812">
        <f t="shared" si="5"/>
        <v>0</v>
      </c>
      <c r="P31" s="812">
        <f t="shared" si="5"/>
        <v>0</v>
      </c>
      <c r="Q31" s="812">
        <f t="shared" si="5"/>
        <v>0</v>
      </c>
      <c r="R31" s="812">
        <f t="shared" si="5"/>
        <v>0</v>
      </c>
      <c r="S31" s="812">
        <f t="shared" si="5"/>
        <v>0</v>
      </c>
      <c r="T31" s="812">
        <f t="shared" si="4"/>
        <v>0</v>
      </c>
      <c r="U31" s="811">
        <f t="shared" si="2"/>
        <v>210</v>
      </c>
      <c r="V31" s="813"/>
      <c r="W31" s="813"/>
      <c r="X31" s="813">
        <v>35</v>
      </c>
      <c r="Y31" s="813">
        <v>35</v>
      </c>
      <c r="Z31" s="813">
        <v>35</v>
      </c>
      <c r="AA31" s="813">
        <v>35</v>
      </c>
      <c r="AB31" s="813">
        <v>35</v>
      </c>
      <c r="AC31" s="813">
        <v>35</v>
      </c>
      <c r="AD31" s="813"/>
      <c r="AE31" s="813"/>
      <c r="AF31" s="813"/>
      <c r="AG31" s="813"/>
      <c r="AH31" s="813"/>
      <c r="AI31" s="814"/>
      <c r="AJ31" s="813"/>
      <c r="AK31" s="814"/>
      <c r="AL31" s="813">
        <f t="shared" si="3"/>
        <v>0</v>
      </c>
      <c r="AM31" s="812"/>
      <c r="AN31" s="812"/>
      <c r="AO31" s="812"/>
      <c r="AP31" s="812"/>
      <c r="AQ31" s="812"/>
      <c r="AR31" s="812"/>
      <c r="AS31" s="812"/>
      <c r="AT31" s="812"/>
      <c r="AU31" s="812"/>
      <c r="AV31" s="812"/>
      <c r="AW31" s="812"/>
      <c r="AX31" s="812"/>
      <c r="AY31" s="812"/>
      <c r="AZ31" s="812"/>
      <c r="BA31" s="815"/>
    </row>
    <row r="32" spans="1:53" ht="22.5" x14ac:dyDescent="0.25">
      <c r="A32" s="931">
        <v>25</v>
      </c>
      <c r="B32" s="809" t="s">
        <v>145</v>
      </c>
      <c r="C32" s="810" t="s">
        <v>546</v>
      </c>
      <c r="D32" s="811">
        <f t="shared" si="1"/>
        <v>250</v>
      </c>
      <c r="E32" s="812">
        <f t="shared" si="5"/>
        <v>25</v>
      </c>
      <c r="F32" s="812">
        <f t="shared" si="5"/>
        <v>25</v>
      </c>
      <c r="G32" s="812">
        <f t="shared" si="5"/>
        <v>25</v>
      </c>
      <c r="H32" s="812">
        <f t="shared" si="5"/>
        <v>25</v>
      </c>
      <c r="I32" s="812">
        <f t="shared" si="5"/>
        <v>25</v>
      </c>
      <c r="J32" s="812">
        <f t="shared" si="5"/>
        <v>25</v>
      </c>
      <c r="K32" s="812">
        <f t="shared" si="5"/>
        <v>25</v>
      </c>
      <c r="L32" s="812">
        <f t="shared" si="5"/>
        <v>25</v>
      </c>
      <c r="M32" s="812">
        <f t="shared" si="5"/>
        <v>25</v>
      </c>
      <c r="N32" s="812">
        <f t="shared" si="5"/>
        <v>25</v>
      </c>
      <c r="O32" s="812">
        <f t="shared" si="5"/>
        <v>0</v>
      </c>
      <c r="P32" s="812">
        <f t="shared" si="5"/>
        <v>0</v>
      </c>
      <c r="Q32" s="812">
        <f t="shared" si="5"/>
        <v>0</v>
      </c>
      <c r="R32" s="812">
        <f t="shared" si="5"/>
        <v>0</v>
      </c>
      <c r="S32" s="812">
        <f t="shared" si="5"/>
        <v>0</v>
      </c>
      <c r="T32" s="812">
        <f t="shared" si="4"/>
        <v>0</v>
      </c>
      <c r="U32" s="811">
        <f t="shared" si="2"/>
        <v>250</v>
      </c>
      <c r="V32" s="813">
        <v>25</v>
      </c>
      <c r="W32" s="813">
        <v>25</v>
      </c>
      <c r="X32" s="813">
        <v>25</v>
      </c>
      <c r="Y32" s="813">
        <v>25</v>
      </c>
      <c r="Z32" s="813">
        <v>25</v>
      </c>
      <c r="AA32" s="813">
        <v>25</v>
      </c>
      <c r="AB32" s="813">
        <v>25</v>
      </c>
      <c r="AC32" s="813">
        <v>25</v>
      </c>
      <c r="AD32" s="813">
        <v>25</v>
      </c>
      <c r="AE32" s="813">
        <v>25</v>
      </c>
      <c r="AF32" s="813"/>
      <c r="AG32" s="813"/>
      <c r="AH32" s="813"/>
      <c r="AI32" s="814"/>
      <c r="AJ32" s="813"/>
      <c r="AK32" s="814"/>
      <c r="AL32" s="813">
        <f t="shared" si="3"/>
        <v>0</v>
      </c>
      <c r="AM32" s="812"/>
      <c r="AN32" s="812"/>
      <c r="AO32" s="812"/>
      <c r="AP32" s="812"/>
      <c r="AQ32" s="812"/>
      <c r="AR32" s="812"/>
      <c r="AS32" s="812"/>
      <c r="AT32" s="812"/>
      <c r="AU32" s="812"/>
      <c r="AV32" s="812"/>
      <c r="AW32" s="812"/>
      <c r="AX32" s="812"/>
      <c r="AY32" s="812"/>
      <c r="AZ32" s="812"/>
      <c r="BA32" s="815"/>
    </row>
    <row r="33" spans="1:53" x14ac:dyDescent="0.25">
      <c r="A33" s="931">
        <v>26</v>
      </c>
      <c r="B33" s="809" t="s">
        <v>274</v>
      </c>
      <c r="C33" s="810" t="s">
        <v>275</v>
      </c>
      <c r="D33" s="811">
        <f t="shared" si="1"/>
        <v>960</v>
      </c>
      <c r="E33" s="812">
        <f t="shared" si="5"/>
        <v>60</v>
      </c>
      <c r="F33" s="812">
        <f t="shared" si="5"/>
        <v>60</v>
      </c>
      <c r="G33" s="812">
        <f t="shared" si="5"/>
        <v>60</v>
      </c>
      <c r="H33" s="812">
        <f t="shared" si="5"/>
        <v>60</v>
      </c>
      <c r="I33" s="812">
        <f t="shared" si="5"/>
        <v>360</v>
      </c>
      <c r="J33" s="812">
        <f t="shared" si="5"/>
        <v>360</v>
      </c>
      <c r="K33" s="812">
        <f t="shared" si="5"/>
        <v>0</v>
      </c>
      <c r="L33" s="812">
        <f t="shared" si="5"/>
        <v>0</v>
      </c>
      <c r="M33" s="812">
        <f t="shared" si="5"/>
        <v>0</v>
      </c>
      <c r="N33" s="812">
        <f t="shared" si="5"/>
        <v>0</v>
      </c>
      <c r="O33" s="812">
        <f t="shared" si="5"/>
        <v>0</v>
      </c>
      <c r="P33" s="812">
        <f t="shared" si="5"/>
        <v>0</v>
      </c>
      <c r="Q33" s="812">
        <f t="shared" si="5"/>
        <v>0</v>
      </c>
      <c r="R33" s="812">
        <f t="shared" si="5"/>
        <v>0</v>
      </c>
      <c r="S33" s="812">
        <f t="shared" si="5"/>
        <v>0</v>
      </c>
      <c r="T33" s="812">
        <f t="shared" si="4"/>
        <v>0</v>
      </c>
      <c r="U33" s="811">
        <f t="shared" si="2"/>
        <v>960</v>
      </c>
      <c r="V33" s="813">
        <v>60</v>
      </c>
      <c r="W33" s="813">
        <v>60</v>
      </c>
      <c r="X33" s="813">
        <v>60</v>
      </c>
      <c r="Y33" s="813">
        <v>60</v>
      </c>
      <c r="Z33" s="813">
        <v>360</v>
      </c>
      <c r="AA33" s="813">
        <v>360</v>
      </c>
      <c r="AB33" s="813"/>
      <c r="AC33" s="813"/>
      <c r="AD33" s="813"/>
      <c r="AE33" s="813"/>
      <c r="AF33" s="813"/>
      <c r="AG33" s="813"/>
      <c r="AH33" s="813"/>
      <c r="AI33" s="814"/>
      <c r="AJ33" s="813"/>
      <c r="AK33" s="814"/>
      <c r="AL33" s="813">
        <f t="shared" si="3"/>
        <v>0</v>
      </c>
      <c r="AM33" s="812"/>
      <c r="AN33" s="812"/>
      <c r="AO33" s="812"/>
      <c r="AP33" s="812"/>
      <c r="AQ33" s="812"/>
      <c r="AR33" s="812"/>
      <c r="AS33" s="812"/>
      <c r="AT33" s="812"/>
      <c r="AU33" s="812"/>
      <c r="AV33" s="812"/>
      <c r="AW33" s="812"/>
      <c r="AX33" s="812"/>
      <c r="AY33" s="812"/>
      <c r="AZ33" s="812"/>
      <c r="BA33" s="815"/>
    </row>
    <row r="34" spans="1:53" x14ac:dyDescent="0.25">
      <c r="A34" s="931">
        <v>27</v>
      </c>
      <c r="B34" s="809" t="s">
        <v>260</v>
      </c>
      <c r="C34" s="810" t="s">
        <v>547</v>
      </c>
      <c r="D34" s="811">
        <f t="shared" si="1"/>
        <v>400</v>
      </c>
      <c r="E34" s="812">
        <f t="shared" si="5"/>
        <v>0</v>
      </c>
      <c r="F34" s="812">
        <f t="shared" si="5"/>
        <v>0</v>
      </c>
      <c r="G34" s="812">
        <f t="shared" si="5"/>
        <v>0</v>
      </c>
      <c r="H34" s="812">
        <f t="shared" si="5"/>
        <v>0</v>
      </c>
      <c r="I34" s="812">
        <f t="shared" si="5"/>
        <v>0</v>
      </c>
      <c r="J34" s="812">
        <f t="shared" si="5"/>
        <v>0</v>
      </c>
      <c r="K34" s="812">
        <f t="shared" si="5"/>
        <v>0</v>
      </c>
      <c r="L34" s="812">
        <f t="shared" si="5"/>
        <v>0</v>
      </c>
      <c r="M34" s="812">
        <f t="shared" si="5"/>
        <v>0</v>
      </c>
      <c r="N34" s="812">
        <f t="shared" si="5"/>
        <v>0</v>
      </c>
      <c r="O34" s="812">
        <f t="shared" si="5"/>
        <v>0</v>
      </c>
      <c r="P34" s="812">
        <f t="shared" si="5"/>
        <v>0</v>
      </c>
      <c r="Q34" s="812">
        <f t="shared" si="5"/>
        <v>200</v>
      </c>
      <c r="R34" s="812">
        <f t="shared" si="5"/>
        <v>200</v>
      </c>
      <c r="S34" s="812">
        <f t="shared" si="5"/>
        <v>0</v>
      </c>
      <c r="T34" s="812">
        <f t="shared" si="4"/>
        <v>0</v>
      </c>
      <c r="U34" s="811">
        <f t="shared" si="2"/>
        <v>400</v>
      </c>
      <c r="V34" s="813"/>
      <c r="W34" s="813"/>
      <c r="X34" s="813"/>
      <c r="Y34" s="813"/>
      <c r="Z34" s="813"/>
      <c r="AA34" s="813"/>
      <c r="AB34" s="813"/>
      <c r="AC34" s="813"/>
      <c r="AD34" s="813"/>
      <c r="AE34" s="813"/>
      <c r="AF34" s="813"/>
      <c r="AG34" s="813"/>
      <c r="AH34" s="813">
        <v>200</v>
      </c>
      <c r="AI34" s="814">
        <v>200</v>
      </c>
      <c r="AJ34" s="813"/>
      <c r="AK34" s="814"/>
      <c r="AL34" s="813">
        <f t="shared" si="3"/>
        <v>0</v>
      </c>
      <c r="AM34" s="812"/>
      <c r="AN34" s="812"/>
      <c r="AO34" s="812"/>
      <c r="AP34" s="812"/>
      <c r="AQ34" s="812"/>
      <c r="AR34" s="812"/>
      <c r="AS34" s="812"/>
      <c r="AT34" s="812"/>
      <c r="AU34" s="812"/>
      <c r="AV34" s="812"/>
      <c r="AW34" s="812"/>
      <c r="AX34" s="812"/>
      <c r="AY34" s="812"/>
      <c r="AZ34" s="812"/>
      <c r="BA34" s="815"/>
    </row>
    <row r="35" spans="1:53" x14ac:dyDescent="0.25">
      <c r="A35" s="931">
        <v>28</v>
      </c>
      <c r="B35" s="809" t="s">
        <v>262</v>
      </c>
      <c r="C35" s="810" t="s">
        <v>263</v>
      </c>
      <c r="D35" s="811">
        <f t="shared" si="1"/>
        <v>150</v>
      </c>
      <c r="E35" s="812">
        <f t="shared" si="5"/>
        <v>0</v>
      </c>
      <c r="F35" s="812">
        <f t="shared" si="5"/>
        <v>0</v>
      </c>
      <c r="G35" s="812">
        <f t="shared" si="5"/>
        <v>0</v>
      </c>
      <c r="H35" s="812">
        <f t="shared" si="5"/>
        <v>0</v>
      </c>
      <c r="I35" s="812">
        <f t="shared" si="5"/>
        <v>0</v>
      </c>
      <c r="J35" s="812">
        <f t="shared" si="5"/>
        <v>0</v>
      </c>
      <c r="K35" s="812">
        <f t="shared" si="5"/>
        <v>0</v>
      </c>
      <c r="L35" s="812">
        <f t="shared" si="5"/>
        <v>0</v>
      </c>
      <c r="M35" s="812">
        <f t="shared" si="5"/>
        <v>0</v>
      </c>
      <c r="N35" s="812">
        <f t="shared" si="5"/>
        <v>0</v>
      </c>
      <c r="O35" s="812">
        <f t="shared" si="5"/>
        <v>0</v>
      </c>
      <c r="P35" s="812">
        <f t="shared" si="5"/>
        <v>150</v>
      </c>
      <c r="Q35" s="812">
        <f t="shared" si="5"/>
        <v>0</v>
      </c>
      <c r="R35" s="812">
        <f t="shared" si="5"/>
        <v>0</v>
      </c>
      <c r="S35" s="812">
        <f t="shared" si="5"/>
        <v>0</v>
      </c>
      <c r="T35" s="812">
        <f t="shared" si="4"/>
        <v>0</v>
      </c>
      <c r="U35" s="811">
        <f t="shared" si="2"/>
        <v>150</v>
      </c>
      <c r="V35" s="813"/>
      <c r="W35" s="813"/>
      <c r="X35" s="813"/>
      <c r="Y35" s="813"/>
      <c r="Z35" s="813"/>
      <c r="AA35" s="813"/>
      <c r="AB35" s="813"/>
      <c r="AC35" s="813"/>
      <c r="AD35" s="813"/>
      <c r="AE35" s="813"/>
      <c r="AF35" s="813"/>
      <c r="AG35" s="813">
        <v>150</v>
      </c>
      <c r="AH35" s="813"/>
      <c r="AI35" s="814"/>
      <c r="AJ35" s="813"/>
      <c r="AK35" s="814"/>
      <c r="AL35" s="813">
        <f t="shared" si="3"/>
        <v>0</v>
      </c>
      <c r="AM35" s="812"/>
      <c r="AN35" s="812"/>
      <c r="AO35" s="812"/>
      <c r="AP35" s="812"/>
      <c r="AQ35" s="812"/>
      <c r="AR35" s="812"/>
      <c r="AS35" s="812"/>
      <c r="AT35" s="812"/>
      <c r="AU35" s="812"/>
      <c r="AV35" s="812"/>
      <c r="AW35" s="812"/>
      <c r="AX35" s="812"/>
      <c r="AY35" s="812"/>
      <c r="AZ35" s="812"/>
      <c r="BA35" s="815"/>
    </row>
    <row r="36" spans="1:53" x14ac:dyDescent="0.25">
      <c r="A36" s="931">
        <v>29</v>
      </c>
      <c r="B36" s="809" t="s">
        <v>185</v>
      </c>
      <c r="C36" s="810" t="s">
        <v>548</v>
      </c>
      <c r="D36" s="811">
        <f t="shared" si="1"/>
        <v>466</v>
      </c>
      <c r="E36" s="812">
        <f t="shared" si="5"/>
        <v>119</v>
      </c>
      <c r="F36" s="812">
        <f t="shared" si="5"/>
        <v>119</v>
      </c>
      <c r="G36" s="812">
        <f t="shared" si="5"/>
        <v>10</v>
      </c>
      <c r="H36" s="812">
        <f t="shared" si="5"/>
        <v>10</v>
      </c>
      <c r="I36" s="812">
        <f t="shared" si="5"/>
        <v>0</v>
      </c>
      <c r="J36" s="812">
        <f t="shared" si="5"/>
        <v>0</v>
      </c>
      <c r="K36" s="812">
        <f t="shared" si="5"/>
        <v>25</v>
      </c>
      <c r="L36" s="812">
        <f t="shared" si="5"/>
        <v>25</v>
      </c>
      <c r="M36" s="812">
        <f t="shared" si="5"/>
        <v>79</v>
      </c>
      <c r="N36" s="812">
        <f t="shared" si="5"/>
        <v>79</v>
      </c>
      <c r="O36" s="812">
        <f t="shared" si="5"/>
        <v>0</v>
      </c>
      <c r="P36" s="812">
        <f t="shared" si="5"/>
        <v>0</v>
      </c>
      <c r="Q36" s="812">
        <f t="shared" si="5"/>
        <v>0</v>
      </c>
      <c r="R36" s="812">
        <f t="shared" si="5"/>
        <v>0</v>
      </c>
      <c r="S36" s="812">
        <f t="shared" si="5"/>
        <v>0</v>
      </c>
      <c r="T36" s="812">
        <f t="shared" si="4"/>
        <v>0</v>
      </c>
      <c r="U36" s="811">
        <f t="shared" si="2"/>
        <v>466</v>
      </c>
      <c r="V36" s="813">
        <v>119</v>
      </c>
      <c r="W36" s="813">
        <v>119</v>
      </c>
      <c r="X36" s="813">
        <v>10</v>
      </c>
      <c r="Y36" s="813">
        <v>10</v>
      </c>
      <c r="Z36" s="813"/>
      <c r="AA36" s="813"/>
      <c r="AB36" s="813">
        <v>25</v>
      </c>
      <c r="AC36" s="813">
        <v>25</v>
      </c>
      <c r="AD36" s="813">
        <v>79</v>
      </c>
      <c r="AE36" s="813">
        <v>79</v>
      </c>
      <c r="AF36" s="813"/>
      <c r="AG36" s="813"/>
      <c r="AH36" s="813"/>
      <c r="AI36" s="814"/>
      <c r="AJ36" s="813"/>
      <c r="AK36" s="814"/>
      <c r="AL36" s="813">
        <f t="shared" si="3"/>
        <v>0</v>
      </c>
      <c r="AM36" s="812"/>
      <c r="AN36" s="812"/>
      <c r="AO36" s="812"/>
      <c r="AP36" s="812"/>
      <c r="AQ36" s="812"/>
      <c r="AR36" s="812"/>
      <c r="AS36" s="812"/>
      <c r="AT36" s="812"/>
      <c r="AU36" s="812"/>
      <c r="AV36" s="812"/>
      <c r="AW36" s="812"/>
      <c r="AX36" s="812"/>
      <c r="AY36" s="812"/>
      <c r="AZ36" s="812"/>
      <c r="BA36" s="815"/>
    </row>
    <row r="37" spans="1:53" ht="19.5" customHeight="1" x14ac:dyDescent="0.25">
      <c r="A37" s="931">
        <v>30</v>
      </c>
      <c r="B37" s="809" t="s">
        <v>215</v>
      </c>
      <c r="C37" s="810" t="s">
        <v>216</v>
      </c>
      <c r="D37" s="811">
        <f t="shared" si="1"/>
        <v>250</v>
      </c>
      <c r="E37" s="812">
        <f t="shared" si="5"/>
        <v>25</v>
      </c>
      <c r="F37" s="812">
        <f t="shared" si="5"/>
        <v>25</v>
      </c>
      <c r="G37" s="812">
        <f t="shared" si="5"/>
        <v>25</v>
      </c>
      <c r="H37" s="812">
        <f t="shared" si="5"/>
        <v>25</v>
      </c>
      <c r="I37" s="812">
        <f t="shared" si="5"/>
        <v>25</v>
      </c>
      <c r="J37" s="812">
        <f t="shared" si="5"/>
        <v>25</v>
      </c>
      <c r="K37" s="812">
        <f t="shared" si="5"/>
        <v>25</v>
      </c>
      <c r="L37" s="812">
        <f t="shared" si="5"/>
        <v>25</v>
      </c>
      <c r="M37" s="812">
        <f t="shared" si="5"/>
        <v>25</v>
      </c>
      <c r="N37" s="812">
        <f t="shared" si="5"/>
        <v>25</v>
      </c>
      <c r="O37" s="812">
        <f t="shared" si="5"/>
        <v>0</v>
      </c>
      <c r="P37" s="812">
        <f t="shared" si="5"/>
        <v>0</v>
      </c>
      <c r="Q37" s="812">
        <f t="shared" si="5"/>
        <v>0</v>
      </c>
      <c r="R37" s="812">
        <f t="shared" si="5"/>
        <v>0</v>
      </c>
      <c r="S37" s="812">
        <f t="shared" si="5"/>
        <v>0</v>
      </c>
      <c r="T37" s="812">
        <f t="shared" si="4"/>
        <v>0</v>
      </c>
      <c r="U37" s="811">
        <f t="shared" si="2"/>
        <v>250</v>
      </c>
      <c r="V37" s="813">
        <v>25</v>
      </c>
      <c r="W37" s="813">
        <v>25</v>
      </c>
      <c r="X37" s="813">
        <v>25</v>
      </c>
      <c r="Y37" s="813">
        <v>25</v>
      </c>
      <c r="Z37" s="813">
        <v>25</v>
      </c>
      <c r="AA37" s="813">
        <v>25</v>
      </c>
      <c r="AB37" s="813">
        <v>25</v>
      </c>
      <c r="AC37" s="813">
        <v>25</v>
      </c>
      <c r="AD37" s="813">
        <v>25</v>
      </c>
      <c r="AE37" s="813">
        <v>25</v>
      </c>
      <c r="AF37" s="813"/>
      <c r="AG37" s="813"/>
      <c r="AH37" s="813"/>
      <c r="AI37" s="814"/>
      <c r="AJ37" s="813"/>
      <c r="AK37" s="814"/>
      <c r="AL37" s="813">
        <f t="shared" si="3"/>
        <v>0</v>
      </c>
      <c r="AM37" s="812"/>
      <c r="AN37" s="812"/>
      <c r="AO37" s="812"/>
      <c r="AP37" s="812"/>
      <c r="AQ37" s="812"/>
      <c r="AR37" s="812"/>
      <c r="AS37" s="812"/>
      <c r="AT37" s="812"/>
      <c r="AU37" s="812"/>
      <c r="AV37" s="812"/>
      <c r="AW37" s="812"/>
      <c r="AX37" s="812"/>
      <c r="AY37" s="812"/>
      <c r="AZ37" s="812"/>
      <c r="BA37" s="815"/>
    </row>
    <row r="38" spans="1:53" x14ac:dyDescent="0.25">
      <c r="A38" s="931">
        <v>31</v>
      </c>
      <c r="B38" s="810"/>
      <c r="C38" s="810" t="s">
        <v>549</v>
      </c>
      <c r="D38" s="811">
        <f t="shared" si="1"/>
        <v>100</v>
      </c>
      <c r="E38" s="812">
        <f t="shared" si="5"/>
        <v>20</v>
      </c>
      <c r="F38" s="812">
        <f t="shared" si="5"/>
        <v>10</v>
      </c>
      <c r="G38" s="812">
        <f t="shared" si="5"/>
        <v>18</v>
      </c>
      <c r="H38" s="812">
        <f t="shared" si="5"/>
        <v>10</v>
      </c>
      <c r="I38" s="812">
        <f t="shared" si="5"/>
        <v>20</v>
      </c>
      <c r="J38" s="812">
        <f t="shared" si="5"/>
        <v>10</v>
      </c>
      <c r="K38" s="812">
        <f t="shared" si="5"/>
        <v>0</v>
      </c>
      <c r="L38" s="812">
        <f t="shared" si="5"/>
        <v>0</v>
      </c>
      <c r="M38" s="812">
        <f t="shared" si="5"/>
        <v>8</v>
      </c>
      <c r="N38" s="812">
        <f t="shared" si="5"/>
        <v>4</v>
      </c>
      <c r="O38" s="812">
        <f t="shared" si="5"/>
        <v>0</v>
      </c>
      <c r="P38" s="812">
        <f t="shared" si="5"/>
        <v>0</v>
      </c>
      <c r="Q38" s="812">
        <f t="shared" si="5"/>
        <v>0</v>
      </c>
      <c r="R38" s="812">
        <f t="shared" si="5"/>
        <v>0</v>
      </c>
      <c r="S38" s="812">
        <f t="shared" si="5"/>
        <v>0</v>
      </c>
      <c r="T38" s="812">
        <f t="shared" si="4"/>
        <v>0</v>
      </c>
      <c r="U38" s="811">
        <f t="shared" si="2"/>
        <v>0</v>
      </c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  <c r="AF38" s="813"/>
      <c r="AG38" s="813"/>
      <c r="AH38" s="813"/>
      <c r="AI38" s="814"/>
      <c r="AJ38" s="813"/>
      <c r="AK38" s="814"/>
      <c r="AL38" s="813">
        <f t="shared" si="3"/>
        <v>100</v>
      </c>
      <c r="AM38" s="812">
        <v>20</v>
      </c>
      <c r="AN38" s="812">
        <v>10</v>
      </c>
      <c r="AO38" s="812">
        <v>18</v>
      </c>
      <c r="AP38" s="812">
        <v>10</v>
      </c>
      <c r="AQ38" s="812">
        <v>20</v>
      </c>
      <c r="AR38" s="812">
        <v>10</v>
      </c>
      <c r="AS38" s="812">
        <v>0</v>
      </c>
      <c r="AT38" s="812">
        <v>0</v>
      </c>
      <c r="AU38" s="812">
        <v>8</v>
      </c>
      <c r="AV38" s="812">
        <v>4</v>
      </c>
      <c r="AW38" s="812">
        <v>0</v>
      </c>
      <c r="AX38" s="812">
        <v>0</v>
      </c>
      <c r="AY38" s="812">
        <v>0</v>
      </c>
      <c r="AZ38" s="812">
        <v>0</v>
      </c>
      <c r="BA38" s="815"/>
    </row>
    <row r="39" spans="1:53" ht="14.25" customHeight="1" x14ac:dyDescent="0.25">
      <c r="A39" s="816"/>
      <c r="B39" s="817"/>
      <c r="C39" s="817" t="s">
        <v>470</v>
      </c>
      <c r="D39" s="818">
        <f>SUM(D8:D38)</f>
        <v>11568</v>
      </c>
      <c r="E39" s="818">
        <f t="shared" ref="E39:AZ39" si="6">SUM(E8:E38)</f>
        <v>1944</v>
      </c>
      <c r="F39" s="818">
        <f t="shared" si="6"/>
        <v>613</v>
      </c>
      <c r="G39" s="818">
        <f t="shared" si="6"/>
        <v>1145</v>
      </c>
      <c r="H39" s="818">
        <f t="shared" si="6"/>
        <v>570</v>
      </c>
      <c r="I39" s="818">
        <f t="shared" si="6"/>
        <v>3266</v>
      </c>
      <c r="J39" s="818">
        <f t="shared" si="6"/>
        <v>1658</v>
      </c>
      <c r="K39" s="818">
        <f t="shared" si="6"/>
        <v>370</v>
      </c>
      <c r="L39" s="818">
        <f t="shared" si="6"/>
        <v>250</v>
      </c>
      <c r="M39" s="818">
        <f t="shared" si="6"/>
        <v>596</v>
      </c>
      <c r="N39" s="818">
        <f t="shared" si="6"/>
        <v>366</v>
      </c>
      <c r="O39" s="818">
        <f t="shared" si="6"/>
        <v>75</v>
      </c>
      <c r="P39" s="818">
        <f t="shared" si="6"/>
        <v>225</v>
      </c>
      <c r="Q39" s="818">
        <f t="shared" si="6"/>
        <v>210</v>
      </c>
      <c r="R39" s="818">
        <f t="shared" si="6"/>
        <v>205</v>
      </c>
      <c r="S39" s="818">
        <f t="shared" si="6"/>
        <v>60</v>
      </c>
      <c r="T39" s="818">
        <f t="shared" si="6"/>
        <v>15</v>
      </c>
      <c r="U39" s="818">
        <f t="shared" si="6"/>
        <v>8676</v>
      </c>
      <c r="V39" s="818">
        <f t="shared" si="6"/>
        <v>715</v>
      </c>
      <c r="W39" s="818">
        <f t="shared" si="6"/>
        <v>519</v>
      </c>
      <c r="X39" s="818">
        <f t="shared" si="6"/>
        <v>1022</v>
      </c>
      <c r="Y39" s="818">
        <f t="shared" si="6"/>
        <v>530</v>
      </c>
      <c r="Z39" s="818">
        <f t="shared" si="6"/>
        <v>2435</v>
      </c>
      <c r="AA39" s="818">
        <f t="shared" si="6"/>
        <v>1407</v>
      </c>
      <c r="AB39" s="818">
        <f t="shared" si="6"/>
        <v>370</v>
      </c>
      <c r="AC39" s="818">
        <f t="shared" si="6"/>
        <v>250</v>
      </c>
      <c r="AD39" s="818">
        <f t="shared" si="6"/>
        <v>335</v>
      </c>
      <c r="AE39" s="818">
        <f t="shared" si="6"/>
        <v>318</v>
      </c>
      <c r="AF39" s="818">
        <f t="shared" si="6"/>
        <v>75</v>
      </c>
      <c r="AG39" s="818">
        <f t="shared" si="6"/>
        <v>225</v>
      </c>
      <c r="AH39" s="818">
        <f t="shared" si="6"/>
        <v>200</v>
      </c>
      <c r="AI39" s="818">
        <f t="shared" si="6"/>
        <v>200</v>
      </c>
      <c r="AJ39" s="818">
        <f t="shared" si="6"/>
        <v>60</v>
      </c>
      <c r="AK39" s="818">
        <f t="shared" si="6"/>
        <v>15</v>
      </c>
      <c r="AL39" s="818">
        <f t="shared" si="6"/>
        <v>2892</v>
      </c>
      <c r="AM39" s="818">
        <f t="shared" si="6"/>
        <v>1229</v>
      </c>
      <c r="AN39" s="818">
        <f t="shared" si="6"/>
        <v>94</v>
      </c>
      <c r="AO39" s="818">
        <f t="shared" si="6"/>
        <v>123</v>
      </c>
      <c r="AP39" s="818">
        <f t="shared" si="6"/>
        <v>40</v>
      </c>
      <c r="AQ39" s="818">
        <f t="shared" si="6"/>
        <v>831</v>
      </c>
      <c r="AR39" s="818">
        <f t="shared" si="6"/>
        <v>251</v>
      </c>
      <c r="AS39" s="818">
        <f t="shared" si="6"/>
        <v>0</v>
      </c>
      <c r="AT39" s="818">
        <f t="shared" si="6"/>
        <v>0</v>
      </c>
      <c r="AU39" s="818">
        <f t="shared" si="6"/>
        <v>261</v>
      </c>
      <c r="AV39" s="818">
        <f t="shared" si="6"/>
        <v>48</v>
      </c>
      <c r="AW39" s="818">
        <f t="shared" si="6"/>
        <v>0</v>
      </c>
      <c r="AX39" s="818">
        <f t="shared" si="6"/>
        <v>0</v>
      </c>
      <c r="AY39" s="818">
        <f t="shared" si="6"/>
        <v>10</v>
      </c>
      <c r="AZ39" s="818">
        <f t="shared" si="6"/>
        <v>5</v>
      </c>
      <c r="BA39" s="815"/>
    </row>
  </sheetData>
  <mergeCells count="33">
    <mergeCell ref="A2:R2"/>
    <mergeCell ref="A4:A6"/>
    <mergeCell ref="B4:B6"/>
    <mergeCell ref="C4:C6"/>
    <mergeCell ref="D4:T4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B5:AC5"/>
    <mergeCell ref="AD5:AE5"/>
    <mergeCell ref="AF5:AG5"/>
    <mergeCell ref="AH5:AI5"/>
    <mergeCell ref="AJ5:AK5"/>
    <mergeCell ref="AY5:AZ5"/>
    <mergeCell ref="AM5:AN5"/>
    <mergeCell ref="AO5:AP5"/>
    <mergeCell ref="AQ5:AR5"/>
    <mergeCell ref="AS5:AT5"/>
    <mergeCell ref="AU5:AV5"/>
    <mergeCell ref="AW5:AX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126" customWidth="1"/>
    <col min="2" max="2" width="10.140625" style="126" customWidth="1"/>
    <col min="3" max="3" width="55.5703125" style="141" customWidth="1"/>
    <col min="4" max="4" width="16.28515625" style="126" customWidth="1"/>
    <col min="5" max="5" width="13.7109375" style="126" customWidth="1"/>
    <col min="6" max="16384" width="9.140625" style="126"/>
  </cols>
  <sheetData>
    <row r="1" spans="1:7" ht="36.75" customHeight="1" x14ac:dyDescent="0.25">
      <c r="A1" s="1157" t="s">
        <v>595</v>
      </c>
      <c r="B1" s="1158"/>
      <c r="C1" s="1158"/>
      <c r="D1" s="1158"/>
      <c r="E1" s="1158"/>
      <c r="F1" s="125"/>
      <c r="G1" s="125"/>
    </row>
    <row r="3" spans="1:7" ht="31.5" customHeight="1" x14ac:dyDescent="0.25">
      <c r="A3" s="127" t="s">
        <v>0</v>
      </c>
      <c r="B3" s="127" t="s">
        <v>302</v>
      </c>
      <c r="C3" s="127" t="s">
        <v>292</v>
      </c>
      <c r="D3" s="127" t="s">
        <v>596</v>
      </c>
      <c r="E3" s="127" t="s">
        <v>597</v>
      </c>
    </row>
    <row r="4" spans="1:7" x14ac:dyDescent="0.25">
      <c r="A4" s="128">
        <v>1</v>
      </c>
      <c r="B4" s="128">
        <v>2</v>
      </c>
      <c r="C4" s="128">
        <v>3</v>
      </c>
      <c r="D4" s="128">
        <v>4</v>
      </c>
      <c r="E4" s="128">
        <v>5</v>
      </c>
    </row>
    <row r="5" spans="1:7" ht="27" customHeight="1" x14ac:dyDescent="0.25">
      <c r="A5" s="1159" t="s">
        <v>598</v>
      </c>
      <c r="B5" s="1159"/>
      <c r="C5" s="1159"/>
      <c r="D5" s="129">
        <v>3881</v>
      </c>
      <c r="E5" s="130"/>
    </row>
    <row r="6" spans="1:7" ht="15" customHeight="1" x14ac:dyDescent="0.25">
      <c r="A6" s="131">
        <v>1</v>
      </c>
      <c r="B6" s="127">
        <v>29110</v>
      </c>
      <c r="C6" s="132" t="s">
        <v>247</v>
      </c>
      <c r="D6" s="133">
        <v>2440</v>
      </c>
      <c r="E6" s="131"/>
    </row>
    <row r="7" spans="1:7" ht="15" customHeight="1" x14ac:dyDescent="0.25">
      <c r="A7" s="131">
        <v>2</v>
      </c>
      <c r="B7" s="134">
        <v>20233</v>
      </c>
      <c r="C7" s="135" t="s">
        <v>249</v>
      </c>
      <c r="D7" s="133">
        <v>1441</v>
      </c>
      <c r="E7" s="131"/>
    </row>
    <row r="8" spans="1:7" ht="18" customHeight="1" x14ac:dyDescent="0.25">
      <c r="A8" s="1159" t="s">
        <v>599</v>
      </c>
      <c r="B8" s="1159"/>
      <c r="C8" s="1159"/>
      <c r="D8" s="128"/>
      <c r="E8" s="136">
        <v>363</v>
      </c>
    </row>
    <row r="9" spans="1:7" ht="16.5" customHeight="1" x14ac:dyDescent="0.25">
      <c r="A9" s="1160">
        <v>1</v>
      </c>
      <c r="B9" s="1161">
        <v>22134</v>
      </c>
      <c r="C9" s="135" t="s">
        <v>285</v>
      </c>
      <c r="D9" s="137"/>
      <c r="E9" s="131"/>
    </row>
    <row r="10" spans="1:7" ht="16.5" customHeight="1" x14ac:dyDescent="0.25">
      <c r="A10" s="1160"/>
      <c r="B10" s="1161"/>
      <c r="C10" s="138" t="s">
        <v>600</v>
      </c>
      <c r="D10" s="128"/>
      <c r="E10" s="128">
        <v>57</v>
      </c>
    </row>
    <row r="11" spans="1:7" ht="16.5" customHeight="1" x14ac:dyDescent="0.25">
      <c r="A11" s="1160"/>
      <c r="B11" s="1161"/>
      <c r="C11" s="138" t="s">
        <v>601</v>
      </c>
      <c r="D11" s="128"/>
      <c r="E11" s="128">
        <v>306</v>
      </c>
    </row>
    <row r="12" spans="1:7" x14ac:dyDescent="0.2">
      <c r="A12" s="139"/>
      <c r="B12" s="140"/>
      <c r="C12" s="140"/>
      <c r="D12" s="140"/>
      <c r="E12" s="140"/>
    </row>
    <row r="13" spans="1:7" x14ac:dyDescent="0.25">
      <c r="D13" s="142"/>
      <c r="E13" s="142"/>
    </row>
    <row r="14" spans="1:7" x14ac:dyDescent="0.25">
      <c r="D14" s="142"/>
      <c r="E14" s="142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7"/>
  <sheetViews>
    <sheetView zoomScaleNormal="100" zoomScaleSheetLayoutView="70" workbookViewId="0">
      <pane xSplit="3" ySplit="3" topLeftCell="D78" activePane="bottomRight" state="frozen"/>
      <selection activeCell="AB31" sqref="AB31"/>
      <selection pane="topRight" activeCell="AB31" sqref="AB31"/>
      <selection pane="bottomLeft" activeCell="AB31" sqref="AB31"/>
      <selection pane="bottomRight" activeCell="AB95" sqref="AB95"/>
    </sheetView>
  </sheetViews>
  <sheetFormatPr defaultRowHeight="12.75" x14ac:dyDescent="0.2"/>
  <cols>
    <col min="1" max="1" width="6" style="472" hidden="1" customWidth="1"/>
    <col min="2" max="2" width="7.28515625" style="523" customWidth="1"/>
    <col min="3" max="3" width="12.85546875" style="475" customWidth="1"/>
    <col min="4" max="4" width="9.42578125" style="520" customWidth="1"/>
    <col min="5" max="5" width="7.5703125" style="520" customWidth="1"/>
    <col min="6" max="6" width="9.42578125" style="520" customWidth="1"/>
    <col min="7" max="7" width="6.28515625" style="520" customWidth="1"/>
    <col min="8" max="8" width="6.42578125" style="520" customWidth="1"/>
    <col min="9" max="9" width="5.85546875" style="521" customWidth="1"/>
    <col min="10" max="10" width="6.85546875" style="520" customWidth="1"/>
    <col min="11" max="11" width="5.85546875" style="520" customWidth="1"/>
    <col min="12" max="12" width="9" style="520" customWidth="1"/>
    <col min="13" max="13" width="7.5703125" style="521" customWidth="1"/>
    <col min="14" max="14" width="7.5703125" style="520" customWidth="1"/>
    <col min="15" max="15" width="7.5703125" style="475" customWidth="1"/>
    <col min="16" max="16" width="7.5703125" style="516" customWidth="1"/>
    <col min="17" max="17" width="7.7109375" style="521" customWidth="1"/>
    <col min="18" max="18" width="8.5703125" style="520" customWidth="1"/>
    <col min="19" max="19" width="7.7109375" style="520" customWidth="1"/>
    <col min="20" max="20" width="7.140625" style="520" customWidth="1"/>
    <col min="21" max="21" width="7.7109375" style="520" customWidth="1"/>
    <col min="22" max="22" width="7.7109375" style="475" customWidth="1"/>
    <col min="23" max="23" width="5.7109375" style="475" customWidth="1"/>
    <col min="24" max="24" width="7.85546875" style="475" customWidth="1"/>
    <col min="25" max="25" width="5.7109375" style="475" customWidth="1"/>
    <col min="26" max="26" width="6.42578125" style="474" customWidth="1"/>
    <col min="27" max="27" width="7.42578125" style="474" customWidth="1"/>
    <col min="28" max="28" width="8.28515625" style="475" customWidth="1"/>
    <col min="29" max="29" width="9" style="474" customWidth="1"/>
    <col min="30" max="30" width="6.28515625" style="520" customWidth="1"/>
    <col min="31" max="31" width="6.85546875" style="520" customWidth="1"/>
    <col min="32" max="32" width="6" style="475" customWidth="1"/>
    <col min="33" max="33" width="7" style="475" customWidth="1"/>
    <col min="34" max="34" width="6.42578125" style="474" customWidth="1"/>
    <col min="35" max="35" width="8.28515625" style="474" customWidth="1"/>
    <col min="36" max="36" width="8.140625" style="475" customWidth="1"/>
    <col min="37" max="16384" width="9.140625" style="475"/>
  </cols>
  <sheetData>
    <row r="1" spans="1:35" ht="17.25" customHeight="1" x14ac:dyDescent="0.2">
      <c r="B1" s="952" t="s">
        <v>395</v>
      </c>
      <c r="C1" s="952"/>
      <c r="D1" s="952"/>
      <c r="E1" s="952"/>
      <c r="F1" s="952"/>
      <c r="G1" s="952"/>
      <c r="H1" s="952"/>
      <c r="I1" s="952"/>
      <c r="J1" s="952"/>
      <c r="K1" s="952"/>
      <c r="L1" s="952"/>
      <c r="M1" s="952"/>
      <c r="N1" s="952"/>
      <c r="O1" s="952"/>
      <c r="P1" s="952"/>
      <c r="Q1" s="585"/>
      <c r="R1" s="585"/>
      <c r="S1" s="585"/>
      <c r="T1" s="585"/>
      <c r="U1" s="473"/>
      <c r="V1" s="473"/>
      <c r="W1" s="473"/>
      <c r="X1" s="473"/>
      <c r="Y1" s="473"/>
      <c r="AD1" s="585"/>
      <c r="AE1" s="585"/>
      <c r="AF1" s="585"/>
      <c r="AG1" s="473"/>
    </row>
    <row r="2" spans="1:35" s="479" customFormat="1" ht="46.5" customHeight="1" x14ac:dyDescent="0.2">
      <c r="A2" s="476"/>
      <c r="B2" s="953" t="s">
        <v>396</v>
      </c>
      <c r="C2" s="953" t="s">
        <v>397</v>
      </c>
      <c r="D2" s="477" t="s">
        <v>259</v>
      </c>
      <c r="E2" s="477" t="s">
        <v>277</v>
      </c>
      <c r="F2" s="477" t="s">
        <v>269</v>
      </c>
      <c r="G2" s="477" t="s">
        <v>263</v>
      </c>
      <c r="H2" s="477" t="s">
        <v>398</v>
      </c>
      <c r="I2" s="477" t="s">
        <v>267</v>
      </c>
      <c r="J2" s="477" t="s">
        <v>275</v>
      </c>
      <c r="K2" s="477" t="s">
        <v>399</v>
      </c>
      <c r="L2" s="477" t="s">
        <v>400</v>
      </c>
      <c r="M2" s="477" t="s">
        <v>401</v>
      </c>
      <c r="N2" s="477" t="s">
        <v>402</v>
      </c>
      <c r="O2" s="477" t="s">
        <v>769</v>
      </c>
      <c r="P2" s="477" t="s">
        <v>770</v>
      </c>
      <c r="Q2" s="477" t="s">
        <v>783</v>
      </c>
      <c r="R2" s="477" t="s">
        <v>208</v>
      </c>
      <c r="S2" s="477" t="s">
        <v>403</v>
      </c>
      <c r="T2" s="477" t="s">
        <v>808</v>
      </c>
      <c r="U2" s="477" t="s">
        <v>404</v>
      </c>
      <c r="V2" s="477" t="s">
        <v>405</v>
      </c>
      <c r="W2" s="477" t="s">
        <v>406</v>
      </c>
      <c r="X2" s="477" t="s">
        <v>407</v>
      </c>
      <c r="Y2" s="477" t="s">
        <v>408</v>
      </c>
      <c r="Z2" s="477" t="s">
        <v>84</v>
      </c>
      <c r="AA2" s="477" t="s">
        <v>409</v>
      </c>
      <c r="AB2" s="477" t="s">
        <v>206</v>
      </c>
      <c r="AC2" s="477" t="s">
        <v>410</v>
      </c>
      <c r="AD2" s="477" t="s">
        <v>411</v>
      </c>
      <c r="AE2" s="477" t="s">
        <v>124</v>
      </c>
      <c r="AF2" s="477" t="s">
        <v>727</v>
      </c>
      <c r="AG2" s="477" t="s">
        <v>412</v>
      </c>
      <c r="AH2" s="477" t="s">
        <v>413</v>
      </c>
      <c r="AI2" s="478" t="s">
        <v>414</v>
      </c>
    </row>
    <row r="3" spans="1:35" s="482" customFormat="1" ht="100.5" customHeight="1" x14ac:dyDescent="0.2">
      <c r="A3" s="480"/>
      <c r="B3" s="954"/>
      <c r="C3" s="954"/>
      <c r="D3" s="481" t="s">
        <v>415</v>
      </c>
      <c r="E3" s="481" t="s">
        <v>415</v>
      </c>
      <c r="F3" s="481" t="s">
        <v>415</v>
      </c>
      <c r="G3" s="481" t="s">
        <v>415</v>
      </c>
      <c r="H3" s="481" t="s">
        <v>415</v>
      </c>
      <c r="I3" s="481" t="s">
        <v>415</v>
      </c>
      <c r="J3" s="481" t="s">
        <v>415</v>
      </c>
      <c r="K3" s="481" t="s">
        <v>415</v>
      </c>
      <c r="L3" s="481" t="s">
        <v>415</v>
      </c>
      <c r="M3" s="481" t="s">
        <v>415</v>
      </c>
      <c r="N3" s="481" t="s">
        <v>415</v>
      </c>
      <c r="O3" s="481" t="s">
        <v>415</v>
      </c>
      <c r="P3" s="481" t="s">
        <v>415</v>
      </c>
      <c r="Q3" s="481" t="s">
        <v>415</v>
      </c>
      <c r="R3" s="481" t="s">
        <v>415</v>
      </c>
      <c r="S3" s="481" t="s">
        <v>415</v>
      </c>
      <c r="T3" s="481" t="s">
        <v>415</v>
      </c>
      <c r="U3" s="481" t="s">
        <v>415</v>
      </c>
      <c r="V3" s="481" t="s">
        <v>415</v>
      </c>
      <c r="W3" s="481" t="s">
        <v>415</v>
      </c>
      <c r="X3" s="481" t="s">
        <v>415</v>
      </c>
      <c r="Y3" s="481" t="s">
        <v>415</v>
      </c>
      <c r="Z3" s="481" t="s">
        <v>415</v>
      </c>
      <c r="AA3" s="481" t="s">
        <v>415</v>
      </c>
      <c r="AB3" s="481" t="s">
        <v>415</v>
      </c>
      <c r="AC3" s="481" t="s">
        <v>415</v>
      </c>
      <c r="AD3" s="481" t="s">
        <v>415</v>
      </c>
      <c r="AE3" s="481" t="s">
        <v>415</v>
      </c>
      <c r="AF3" s="481" t="s">
        <v>415</v>
      </c>
      <c r="AG3" s="481" t="s">
        <v>415</v>
      </c>
      <c r="AH3" s="481" t="s">
        <v>415</v>
      </c>
      <c r="AI3" s="481" t="s">
        <v>415</v>
      </c>
    </row>
    <row r="4" spans="1:35" s="482" customFormat="1" ht="15" hidden="1" customHeight="1" x14ac:dyDescent="0.2">
      <c r="A4" s="480"/>
      <c r="B4" s="955"/>
      <c r="C4" s="955"/>
      <c r="D4" s="586">
        <v>22102</v>
      </c>
      <c r="E4" s="586">
        <v>22100</v>
      </c>
      <c r="F4" s="586">
        <v>22103</v>
      </c>
      <c r="G4" s="586">
        <v>22113</v>
      </c>
      <c r="H4" s="586" t="s">
        <v>809</v>
      </c>
      <c r="I4" s="586">
        <v>22112</v>
      </c>
      <c r="J4" s="586" t="s">
        <v>810</v>
      </c>
      <c r="K4" s="586">
        <v>22125</v>
      </c>
      <c r="L4" s="586">
        <v>22127</v>
      </c>
      <c r="M4" s="586">
        <v>22131</v>
      </c>
      <c r="N4" s="586">
        <v>22109</v>
      </c>
      <c r="O4" s="484"/>
      <c r="P4" s="586">
        <v>30</v>
      </c>
      <c r="Q4" s="586">
        <v>23</v>
      </c>
      <c r="R4" s="586">
        <v>12</v>
      </c>
      <c r="S4" s="586">
        <v>8</v>
      </c>
      <c r="T4" s="586">
        <v>32</v>
      </c>
      <c r="U4" s="586">
        <v>6001</v>
      </c>
      <c r="V4" s="484"/>
      <c r="W4" s="586">
        <v>10001</v>
      </c>
      <c r="X4" s="586">
        <v>12001</v>
      </c>
      <c r="Y4" s="484"/>
      <c r="Z4" s="586"/>
      <c r="AA4" s="586"/>
      <c r="AB4" s="587"/>
      <c r="AC4" s="586"/>
      <c r="AD4" s="586">
        <v>14024</v>
      </c>
      <c r="AE4" s="586">
        <v>16001</v>
      </c>
      <c r="AF4" s="587"/>
      <c r="AG4" s="586"/>
      <c r="AH4" s="586"/>
      <c r="AI4" s="586"/>
    </row>
    <row r="5" spans="1:35" s="486" customFormat="1" ht="11.25" hidden="1" customHeight="1" x14ac:dyDescent="0.2">
      <c r="A5" s="483"/>
      <c r="B5" s="484">
        <v>1</v>
      </c>
      <c r="C5" s="485">
        <v>2</v>
      </c>
      <c r="D5" s="484">
        <v>3</v>
      </c>
      <c r="E5" s="485">
        <v>5</v>
      </c>
      <c r="F5" s="484">
        <v>7</v>
      </c>
      <c r="G5" s="484">
        <v>9</v>
      </c>
      <c r="H5" s="485">
        <v>11</v>
      </c>
      <c r="I5" s="484">
        <v>13</v>
      </c>
      <c r="J5" s="485">
        <v>15</v>
      </c>
      <c r="K5" s="484">
        <v>17</v>
      </c>
      <c r="L5" s="484">
        <v>19</v>
      </c>
      <c r="M5" s="484">
        <v>21</v>
      </c>
      <c r="N5" s="484">
        <v>23</v>
      </c>
      <c r="O5" s="485">
        <v>25</v>
      </c>
      <c r="P5" s="484">
        <v>27</v>
      </c>
      <c r="Q5" s="484">
        <v>29</v>
      </c>
      <c r="R5" s="485">
        <v>31</v>
      </c>
      <c r="S5" s="484">
        <v>33</v>
      </c>
      <c r="T5" s="485">
        <v>35</v>
      </c>
      <c r="U5" s="484">
        <v>37</v>
      </c>
      <c r="V5" s="484">
        <v>39</v>
      </c>
      <c r="W5" s="485">
        <v>41</v>
      </c>
      <c r="X5" s="484">
        <v>43</v>
      </c>
      <c r="Y5" s="484">
        <v>45</v>
      </c>
      <c r="Z5" s="484">
        <v>47</v>
      </c>
      <c r="AA5" s="484">
        <v>49</v>
      </c>
      <c r="AB5" s="484">
        <v>51</v>
      </c>
      <c r="AC5" s="484">
        <v>53</v>
      </c>
      <c r="AD5" s="484">
        <v>55</v>
      </c>
      <c r="AE5" s="484">
        <v>57</v>
      </c>
      <c r="AF5" s="484">
        <v>59</v>
      </c>
      <c r="AG5" s="484">
        <v>61</v>
      </c>
      <c r="AH5" s="484">
        <v>63</v>
      </c>
      <c r="AI5" s="484">
        <v>65</v>
      </c>
    </row>
    <row r="6" spans="1:35" s="489" customFormat="1" ht="24" customHeight="1" x14ac:dyDescent="0.2">
      <c r="A6" s="487"/>
      <c r="B6" s="950" t="s">
        <v>416</v>
      </c>
      <c r="C6" s="951"/>
      <c r="D6" s="488">
        <v>384</v>
      </c>
      <c r="E6" s="488">
        <v>0</v>
      </c>
      <c r="F6" s="488">
        <v>271</v>
      </c>
      <c r="G6" s="488">
        <v>0</v>
      </c>
      <c r="H6" s="488">
        <v>0</v>
      </c>
      <c r="I6" s="488">
        <v>0</v>
      </c>
      <c r="J6" s="488">
        <v>0</v>
      </c>
      <c r="K6" s="488">
        <v>53</v>
      </c>
      <c r="L6" s="488">
        <v>0</v>
      </c>
      <c r="M6" s="488">
        <v>0</v>
      </c>
      <c r="N6" s="488">
        <v>30</v>
      </c>
      <c r="O6" s="488">
        <v>129</v>
      </c>
      <c r="P6" s="488">
        <v>52</v>
      </c>
      <c r="Q6" s="488">
        <v>40</v>
      </c>
      <c r="R6" s="488">
        <v>0</v>
      </c>
      <c r="S6" s="488">
        <v>0</v>
      </c>
      <c r="T6" s="488">
        <v>0</v>
      </c>
      <c r="U6" s="488">
        <v>0</v>
      </c>
      <c r="V6" s="488">
        <v>0</v>
      </c>
      <c r="W6" s="488">
        <v>0</v>
      </c>
      <c r="X6" s="488">
        <v>0</v>
      </c>
      <c r="Y6" s="488">
        <v>0</v>
      </c>
      <c r="Z6" s="488">
        <v>0</v>
      </c>
      <c r="AA6" s="488">
        <v>0</v>
      </c>
      <c r="AB6" s="488">
        <v>0</v>
      </c>
      <c r="AC6" s="488">
        <v>0</v>
      </c>
      <c r="AD6" s="488">
        <v>190</v>
      </c>
      <c r="AE6" s="488">
        <v>0</v>
      </c>
      <c r="AF6" s="488">
        <v>0</v>
      </c>
      <c r="AG6" s="488">
        <v>1149</v>
      </c>
      <c r="AH6" s="488">
        <v>0</v>
      </c>
      <c r="AI6" s="488">
        <v>1149</v>
      </c>
    </row>
    <row r="7" spans="1:35" s="486" customFormat="1" ht="13.5" customHeight="1" x14ac:dyDescent="0.2">
      <c r="A7" s="483">
        <v>3</v>
      </c>
      <c r="B7" s="490">
        <v>1</v>
      </c>
      <c r="C7" s="491">
        <f>[9]стоимость!J5</f>
        <v>154599</v>
      </c>
      <c r="D7" s="492">
        <v>304</v>
      </c>
      <c r="E7" s="492"/>
      <c r="F7" s="492">
        <v>131</v>
      </c>
      <c r="G7" s="492"/>
      <c r="H7" s="492"/>
      <c r="I7" s="492"/>
      <c r="J7" s="492"/>
      <c r="K7" s="492"/>
      <c r="L7" s="492"/>
      <c r="M7" s="492"/>
      <c r="N7" s="492">
        <v>13</v>
      </c>
      <c r="O7" s="492">
        <v>100</v>
      </c>
      <c r="P7" s="492">
        <v>20</v>
      </c>
      <c r="Q7" s="492">
        <v>40</v>
      </c>
      <c r="R7" s="492"/>
      <c r="S7" s="492"/>
      <c r="T7" s="492"/>
      <c r="U7" s="492"/>
      <c r="V7" s="492"/>
      <c r="W7" s="493"/>
      <c r="X7" s="493"/>
      <c r="Y7" s="493"/>
      <c r="Z7" s="494"/>
      <c r="AA7" s="494"/>
      <c r="AB7" s="494"/>
      <c r="AC7" s="494"/>
      <c r="AD7" s="493">
        <v>150</v>
      </c>
      <c r="AE7" s="493"/>
      <c r="AF7" s="492"/>
      <c r="AG7" s="495">
        <v>758</v>
      </c>
      <c r="AH7" s="494"/>
      <c r="AI7" s="496">
        <v>758</v>
      </c>
    </row>
    <row r="8" spans="1:35" s="486" customFormat="1" ht="13.5" customHeight="1" x14ac:dyDescent="0.2">
      <c r="A8" s="483">
        <v>4</v>
      </c>
      <c r="B8" s="490">
        <v>2</v>
      </c>
      <c r="C8" s="491">
        <f>[9]стоимость!J6</f>
        <v>235945</v>
      </c>
      <c r="D8" s="493">
        <v>80</v>
      </c>
      <c r="E8" s="493"/>
      <c r="F8" s="493">
        <v>140</v>
      </c>
      <c r="G8" s="492"/>
      <c r="H8" s="493"/>
      <c r="I8" s="497"/>
      <c r="J8" s="493"/>
      <c r="K8" s="493">
        <v>53</v>
      </c>
      <c r="L8" s="493"/>
      <c r="M8" s="492"/>
      <c r="N8" s="493">
        <v>17</v>
      </c>
      <c r="O8" s="492">
        <v>29</v>
      </c>
      <c r="P8" s="493">
        <v>32</v>
      </c>
      <c r="Q8" s="492"/>
      <c r="R8" s="493"/>
      <c r="S8" s="493"/>
      <c r="T8" s="493"/>
      <c r="U8" s="493"/>
      <c r="V8" s="492"/>
      <c r="W8" s="493"/>
      <c r="X8" s="493"/>
      <c r="Y8" s="493"/>
      <c r="Z8" s="494"/>
      <c r="AA8" s="494"/>
      <c r="AB8" s="494"/>
      <c r="AC8" s="494"/>
      <c r="AD8" s="493">
        <v>40</v>
      </c>
      <c r="AE8" s="493"/>
      <c r="AF8" s="492"/>
      <c r="AG8" s="495">
        <v>391</v>
      </c>
      <c r="AH8" s="494"/>
      <c r="AI8" s="496">
        <v>391</v>
      </c>
    </row>
    <row r="9" spans="1:35" s="486" customFormat="1" ht="20.25" customHeight="1" x14ac:dyDescent="0.2">
      <c r="A9" s="483"/>
      <c r="B9" s="950" t="s">
        <v>417</v>
      </c>
      <c r="C9" s="951"/>
      <c r="D9" s="488">
        <v>50</v>
      </c>
      <c r="E9" s="488">
        <v>0</v>
      </c>
      <c r="F9" s="488">
        <v>0</v>
      </c>
      <c r="G9" s="488">
        <v>0</v>
      </c>
      <c r="H9" s="488">
        <v>0</v>
      </c>
      <c r="I9" s="488">
        <v>0</v>
      </c>
      <c r="J9" s="488">
        <v>0</v>
      </c>
      <c r="K9" s="488">
        <v>34</v>
      </c>
      <c r="L9" s="488">
        <v>0</v>
      </c>
      <c r="M9" s="488">
        <v>0</v>
      </c>
      <c r="N9" s="488">
        <v>0</v>
      </c>
      <c r="O9" s="488">
        <v>0</v>
      </c>
      <c r="P9" s="488">
        <v>60</v>
      </c>
      <c r="Q9" s="488">
        <v>0</v>
      </c>
      <c r="R9" s="488">
        <v>0</v>
      </c>
      <c r="S9" s="488">
        <v>0</v>
      </c>
      <c r="T9" s="488">
        <v>0</v>
      </c>
      <c r="U9" s="488">
        <v>0</v>
      </c>
      <c r="V9" s="488">
        <v>0</v>
      </c>
      <c r="W9" s="488">
        <v>0</v>
      </c>
      <c r="X9" s="488">
        <v>0</v>
      </c>
      <c r="Y9" s="488">
        <v>0</v>
      </c>
      <c r="Z9" s="488">
        <v>0</v>
      </c>
      <c r="AA9" s="488">
        <v>0</v>
      </c>
      <c r="AB9" s="488">
        <v>0</v>
      </c>
      <c r="AC9" s="488">
        <v>0</v>
      </c>
      <c r="AD9" s="488">
        <v>0</v>
      </c>
      <c r="AE9" s="488">
        <v>0</v>
      </c>
      <c r="AF9" s="488">
        <v>0</v>
      </c>
      <c r="AG9" s="488">
        <v>144</v>
      </c>
      <c r="AH9" s="488">
        <v>0</v>
      </c>
      <c r="AI9" s="488">
        <v>144</v>
      </c>
    </row>
    <row r="10" spans="1:35" s="486" customFormat="1" ht="15" customHeight="1" x14ac:dyDescent="0.2">
      <c r="A10" s="483">
        <v>5</v>
      </c>
      <c r="B10" s="490">
        <v>3</v>
      </c>
      <c r="C10" s="491">
        <f>[9]стоимость!J7</f>
        <v>159235</v>
      </c>
      <c r="D10" s="493">
        <v>50</v>
      </c>
      <c r="E10" s="493"/>
      <c r="F10" s="493"/>
      <c r="G10" s="493"/>
      <c r="H10" s="493"/>
      <c r="I10" s="493"/>
      <c r="J10" s="493"/>
      <c r="K10" s="493">
        <v>34</v>
      </c>
      <c r="L10" s="493"/>
      <c r="M10" s="493"/>
      <c r="N10" s="493"/>
      <c r="O10" s="492"/>
      <c r="P10" s="493">
        <v>60</v>
      </c>
      <c r="Q10" s="493"/>
      <c r="R10" s="493"/>
      <c r="S10" s="493"/>
      <c r="T10" s="493"/>
      <c r="U10" s="493"/>
      <c r="V10" s="492"/>
      <c r="W10" s="493"/>
      <c r="X10" s="493"/>
      <c r="Y10" s="493"/>
      <c r="Z10" s="494"/>
      <c r="AA10" s="494"/>
      <c r="AB10" s="494"/>
      <c r="AC10" s="494"/>
      <c r="AD10" s="493"/>
      <c r="AE10" s="493"/>
      <c r="AF10" s="492"/>
      <c r="AG10" s="495">
        <v>144</v>
      </c>
      <c r="AH10" s="494"/>
      <c r="AI10" s="495">
        <v>144</v>
      </c>
    </row>
    <row r="11" spans="1:35" s="486" customFormat="1" ht="20.25" customHeight="1" x14ac:dyDescent="0.2">
      <c r="A11" s="483"/>
      <c r="B11" s="950" t="s">
        <v>418</v>
      </c>
      <c r="C11" s="951"/>
      <c r="D11" s="488">
        <v>31</v>
      </c>
      <c r="E11" s="488">
        <v>0</v>
      </c>
      <c r="F11" s="488">
        <v>0</v>
      </c>
      <c r="G11" s="488">
        <v>0</v>
      </c>
      <c r="H11" s="488">
        <v>0</v>
      </c>
      <c r="I11" s="488">
        <v>0</v>
      </c>
      <c r="J11" s="488">
        <v>0</v>
      </c>
      <c r="K11" s="488">
        <v>12</v>
      </c>
      <c r="L11" s="488">
        <v>0</v>
      </c>
      <c r="M11" s="488">
        <v>0</v>
      </c>
      <c r="N11" s="488">
        <v>21</v>
      </c>
      <c r="O11" s="488">
        <v>0</v>
      </c>
      <c r="P11" s="488">
        <v>0</v>
      </c>
      <c r="Q11" s="488">
        <v>0</v>
      </c>
      <c r="R11" s="488">
        <v>0</v>
      </c>
      <c r="S11" s="488">
        <v>0</v>
      </c>
      <c r="T11" s="488">
        <v>0</v>
      </c>
      <c r="U11" s="488">
        <v>0</v>
      </c>
      <c r="V11" s="488">
        <v>0</v>
      </c>
      <c r="W11" s="488">
        <v>0</v>
      </c>
      <c r="X11" s="488">
        <v>0</v>
      </c>
      <c r="Y11" s="488">
        <v>0</v>
      </c>
      <c r="Z11" s="488">
        <v>0</v>
      </c>
      <c r="AA11" s="488">
        <v>0</v>
      </c>
      <c r="AB11" s="488">
        <v>0</v>
      </c>
      <c r="AC11" s="488">
        <v>0</v>
      </c>
      <c r="AD11" s="488">
        <v>0</v>
      </c>
      <c r="AE11" s="488">
        <v>0</v>
      </c>
      <c r="AF11" s="488">
        <v>0</v>
      </c>
      <c r="AG11" s="488">
        <v>64</v>
      </c>
      <c r="AH11" s="488">
        <v>0</v>
      </c>
      <c r="AI11" s="488">
        <v>64</v>
      </c>
    </row>
    <row r="12" spans="1:35" s="486" customFormat="1" ht="12.75" customHeight="1" x14ac:dyDescent="0.2">
      <c r="A12" s="483">
        <v>6</v>
      </c>
      <c r="B12" s="490">
        <v>4</v>
      </c>
      <c r="C12" s="491">
        <f>[9]стоимость!J8</f>
        <v>180406</v>
      </c>
      <c r="D12" s="493">
        <v>31</v>
      </c>
      <c r="E12" s="493"/>
      <c r="F12" s="493"/>
      <c r="G12" s="492"/>
      <c r="H12" s="493"/>
      <c r="I12" s="493"/>
      <c r="J12" s="493"/>
      <c r="K12" s="493">
        <v>12</v>
      </c>
      <c r="L12" s="493"/>
      <c r="M12" s="493"/>
      <c r="N12" s="493">
        <v>21</v>
      </c>
      <c r="O12" s="492"/>
      <c r="P12" s="493"/>
      <c r="Q12" s="493"/>
      <c r="R12" s="493"/>
      <c r="S12" s="493"/>
      <c r="T12" s="493"/>
      <c r="U12" s="493"/>
      <c r="V12" s="492"/>
      <c r="W12" s="493"/>
      <c r="X12" s="493"/>
      <c r="Y12" s="493"/>
      <c r="Z12" s="494"/>
      <c r="AA12" s="494"/>
      <c r="AB12" s="494"/>
      <c r="AC12" s="494"/>
      <c r="AD12" s="493"/>
      <c r="AE12" s="493"/>
      <c r="AF12" s="492"/>
      <c r="AG12" s="495">
        <v>64</v>
      </c>
      <c r="AH12" s="494"/>
      <c r="AI12" s="495">
        <v>64</v>
      </c>
    </row>
    <row r="13" spans="1:35" s="486" customFormat="1" ht="18.75" customHeight="1" x14ac:dyDescent="0.2">
      <c r="A13" s="483">
        <v>7</v>
      </c>
      <c r="B13" s="490">
        <v>5</v>
      </c>
      <c r="C13" s="491">
        <f>[9]стоимость!J9</f>
        <v>517784</v>
      </c>
      <c r="D13" s="493"/>
      <c r="E13" s="493"/>
      <c r="F13" s="493"/>
      <c r="G13" s="493"/>
      <c r="H13" s="493"/>
      <c r="I13" s="493"/>
      <c r="J13" s="493"/>
      <c r="K13" s="493"/>
      <c r="L13" s="493"/>
      <c r="M13" s="493"/>
      <c r="N13" s="493"/>
      <c r="O13" s="492"/>
      <c r="P13" s="493"/>
      <c r="Q13" s="493"/>
      <c r="R13" s="493"/>
      <c r="S13" s="493"/>
      <c r="T13" s="493"/>
      <c r="U13" s="493"/>
      <c r="V13" s="492"/>
      <c r="W13" s="493"/>
      <c r="X13" s="493"/>
      <c r="Y13" s="493"/>
      <c r="Z13" s="494"/>
      <c r="AA13" s="494"/>
      <c r="AB13" s="494"/>
      <c r="AC13" s="494"/>
      <c r="AD13" s="493"/>
      <c r="AE13" s="493"/>
      <c r="AF13" s="492"/>
      <c r="AG13" s="495">
        <v>0</v>
      </c>
      <c r="AH13" s="494"/>
      <c r="AI13" s="495">
        <v>0</v>
      </c>
    </row>
    <row r="14" spans="1:35" s="486" customFormat="1" ht="21.75" customHeight="1" x14ac:dyDescent="0.2">
      <c r="A14" s="483"/>
      <c r="B14" s="950" t="s">
        <v>419</v>
      </c>
      <c r="C14" s="951"/>
      <c r="D14" s="488">
        <v>0</v>
      </c>
      <c r="E14" s="488">
        <v>0</v>
      </c>
      <c r="F14" s="488">
        <v>0</v>
      </c>
      <c r="G14" s="488">
        <v>0</v>
      </c>
      <c r="H14" s="488">
        <v>0</v>
      </c>
      <c r="I14" s="488">
        <v>0</v>
      </c>
      <c r="J14" s="488">
        <v>0</v>
      </c>
      <c r="K14" s="488">
        <v>4</v>
      </c>
      <c r="L14" s="488">
        <v>0</v>
      </c>
      <c r="M14" s="488">
        <v>0</v>
      </c>
      <c r="N14" s="488">
        <v>0</v>
      </c>
      <c r="O14" s="488">
        <v>0</v>
      </c>
      <c r="P14" s="488">
        <v>0</v>
      </c>
      <c r="Q14" s="488">
        <v>0</v>
      </c>
      <c r="R14" s="488">
        <v>0</v>
      </c>
      <c r="S14" s="488">
        <v>0</v>
      </c>
      <c r="T14" s="488">
        <v>0</v>
      </c>
      <c r="U14" s="488">
        <v>0</v>
      </c>
      <c r="V14" s="488">
        <v>0</v>
      </c>
      <c r="W14" s="488">
        <v>0</v>
      </c>
      <c r="X14" s="488">
        <v>0</v>
      </c>
      <c r="Y14" s="488">
        <v>0</v>
      </c>
      <c r="Z14" s="488">
        <v>0</v>
      </c>
      <c r="AA14" s="488">
        <v>0</v>
      </c>
      <c r="AB14" s="488">
        <v>0</v>
      </c>
      <c r="AC14" s="488">
        <v>0</v>
      </c>
      <c r="AD14" s="488">
        <v>0</v>
      </c>
      <c r="AE14" s="488">
        <v>0</v>
      </c>
      <c r="AF14" s="488">
        <v>0</v>
      </c>
      <c r="AG14" s="488">
        <v>4</v>
      </c>
      <c r="AH14" s="488">
        <v>0</v>
      </c>
      <c r="AI14" s="488">
        <v>4</v>
      </c>
    </row>
    <row r="15" spans="1:35" s="482" customFormat="1" ht="14.25" customHeight="1" x14ac:dyDescent="0.2">
      <c r="A15" s="480">
        <v>8</v>
      </c>
      <c r="B15" s="490">
        <v>6</v>
      </c>
      <c r="C15" s="491">
        <f>[9]стоимость!J10</f>
        <v>321904</v>
      </c>
      <c r="D15" s="493"/>
      <c r="E15" s="493"/>
      <c r="F15" s="493"/>
      <c r="G15" s="493"/>
      <c r="H15" s="493"/>
      <c r="I15" s="493"/>
      <c r="J15" s="493"/>
      <c r="K15" s="493">
        <v>4</v>
      </c>
      <c r="L15" s="493"/>
      <c r="M15" s="493"/>
      <c r="N15" s="493"/>
      <c r="O15" s="492"/>
      <c r="P15" s="493"/>
      <c r="Q15" s="493"/>
      <c r="R15" s="493"/>
      <c r="S15" s="493"/>
      <c r="T15" s="493"/>
      <c r="U15" s="493"/>
      <c r="V15" s="492"/>
      <c r="W15" s="493"/>
      <c r="X15" s="493"/>
      <c r="Y15" s="492"/>
      <c r="Z15" s="498"/>
      <c r="AA15" s="498"/>
      <c r="AB15" s="498"/>
      <c r="AC15" s="498"/>
      <c r="AD15" s="493"/>
      <c r="AE15" s="493"/>
      <c r="AF15" s="492"/>
      <c r="AG15" s="495">
        <v>4</v>
      </c>
      <c r="AH15" s="498"/>
      <c r="AI15" s="492">
        <v>4</v>
      </c>
    </row>
    <row r="16" spans="1:35" s="486" customFormat="1" ht="18" customHeight="1" x14ac:dyDescent="0.2">
      <c r="A16" s="483"/>
      <c r="B16" s="950" t="s">
        <v>420</v>
      </c>
      <c r="C16" s="951"/>
      <c r="D16" s="488">
        <v>0</v>
      </c>
      <c r="E16" s="488">
        <v>0</v>
      </c>
      <c r="F16" s="488">
        <v>0</v>
      </c>
      <c r="G16" s="488">
        <v>0</v>
      </c>
      <c r="H16" s="488">
        <v>0</v>
      </c>
      <c r="I16" s="488">
        <v>48</v>
      </c>
      <c r="J16" s="488">
        <v>0</v>
      </c>
      <c r="K16" s="488">
        <v>0</v>
      </c>
      <c r="L16" s="488">
        <v>0</v>
      </c>
      <c r="M16" s="488">
        <v>0</v>
      </c>
      <c r="N16" s="488">
        <v>0</v>
      </c>
      <c r="O16" s="488">
        <v>0</v>
      </c>
      <c r="P16" s="488">
        <v>0</v>
      </c>
      <c r="Q16" s="488">
        <v>0</v>
      </c>
      <c r="R16" s="488">
        <v>0</v>
      </c>
      <c r="S16" s="488">
        <v>0</v>
      </c>
      <c r="T16" s="488">
        <v>0</v>
      </c>
      <c r="U16" s="488">
        <v>0</v>
      </c>
      <c r="V16" s="488">
        <v>0</v>
      </c>
      <c r="W16" s="488">
        <v>0</v>
      </c>
      <c r="X16" s="488">
        <v>0</v>
      </c>
      <c r="Y16" s="488">
        <v>0</v>
      </c>
      <c r="Z16" s="488">
        <v>0</v>
      </c>
      <c r="AA16" s="488">
        <v>0</v>
      </c>
      <c r="AB16" s="488">
        <v>0</v>
      </c>
      <c r="AC16" s="488">
        <v>0</v>
      </c>
      <c r="AD16" s="488">
        <v>0</v>
      </c>
      <c r="AE16" s="488">
        <v>0</v>
      </c>
      <c r="AF16" s="488">
        <v>0</v>
      </c>
      <c r="AG16" s="488">
        <v>48</v>
      </c>
      <c r="AH16" s="488">
        <v>0</v>
      </c>
      <c r="AI16" s="488">
        <v>48</v>
      </c>
    </row>
    <row r="17" spans="1:35" s="486" customFormat="1" ht="15.75" customHeight="1" x14ac:dyDescent="0.2">
      <c r="A17" s="483">
        <v>9</v>
      </c>
      <c r="B17" s="490">
        <v>7</v>
      </c>
      <c r="C17" s="491">
        <f>[9]стоимость!J11</f>
        <v>122477</v>
      </c>
      <c r="D17" s="493"/>
      <c r="E17" s="493"/>
      <c r="F17" s="493"/>
      <c r="G17" s="493"/>
      <c r="H17" s="493"/>
      <c r="I17" s="493">
        <v>48</v>
      </c>
      <c r="J17" s="493"/>
      <c r="K17" s="493"/>
      <c r="L17" s="493"/>
      <c r="M17" s="493"/>
      <c r="N17" s="493"/>
      <c r="O17" s="493"/>
      <c r="P17" s="493"/>
      <c r="Q17" s="493"/>
      <c r="R17" s="493"/>
      <c r="S17" s="493"/>
      <c r="T17" s="493"/>
      <c r="U17" s="493"/>
      <c r="V17" s="492"/>
      <c r="W17" s="493"/>
      <c r="X17" s="493"/>
      <c r="Y17" s="493"/>
      <c r="Z17" s="494"/>
      <c r="AA17" s="494"/>
      <c r="AB17" s="494"/>
      <c r="AC17" s="494"/>
      <c r="AD17" s="493"/>
      <c r="AE17" s="493"/>
      <c r="AF17" s="492"/>
      <c r="AG17" s="495">
        <v>48</v>
      </c>
      <c r="AH17" s="494"/>
      <c r="AI17" s="495">
        <v>48</v>
      </c>
    </row>
    <row r="18" spans="1:35" s="486" customFormat="1" ht="17.25" customHeight="1" x14ac:dyDescent="0.2">
      <c r="A18" s="483"/>
      <c r="B18" s="950" t="s">
        <v>421</v>
      </c>
      <c r="C18" s="951"/>
      <c r="D18" s="488">
        <v>0</v>
      </c>
      <c r="E18" s="488">
        <v>0</v>
      </c>
      <c r="F18" s="488">
        <v>0</v>
      </c>
      <c r="G18" s="488">
        <v>0</v>
      </c>
      <c r="H18" s="488">
        <v>0</v>
      </c>
      <c r="I18" s="488">
        <v>0</v>
      </c>
      <c r="J18" s="488">
        <v>0</v>
      </c>
      <c r="K18" s="488">
        <v>0</v>
      </c>
      <c r="L18" s="488">
        <v>0</v>
      </c>
      <c r="M18" s="488">
        <v>0</v>
      </c>
      <c r="N18" s="488">
        <v>0</v>
      </c>
      <c r="O18" s="488">
        <v>125</v>
      </c>
      <c r="P18" s="488">
        <v>0</v>
      </c>
      <c r="Q18" s="488">
        <v>0</v>
      </c>
      <c r="R18" s="488">
        <v>0</v>
      </c>
      <c r="S18" s="488">
        <v>0</v>
      </c>
      <c r="T18" s="488">
        <v>27</v>
      </c>
      <c r="U18" s="488">
        <v>0</v>
      </c>
      <c r="V18" s="488">
        <v>0</v>
      </c>
      <c r="W18" s="488">
        <v>0</v>
      </c>
      <c r="X18" s="488">
        <v>0</v>
      </c>
      <c r="Y18" s="488">
        <v>0</v>
      </c>
      <c r="Z18" s="488">
        <v>0</v>
      </c>
      <c r="AA18" s="488">
        <v>0</v>
      </c>
      <c r="AB18" s="488">
        <v>0</v>
      </c>
      <c r="AC18" s="488">
        <v>0</v>
      </c>
      <c r="AD18" s="488">
        <v>0</v>
      </c>
      <c r="AE18" s="488">
        <v>0</v>
      </c>
      <c r="AF18" s="488">
        <v>0</v>
      </c>
      <c r="AG18" s="488">
        <v>152</v>
      </c>
      <c r="AH18" s="488">
        <v>0</v>
      </c>
      <c r="AI18" s="488">
        <v>152</v>
      </c>
    </row>
    <row r="19" spans="1:35" s="486" customFormat="1" ht="14.25" customHeight="1" x14ac:dyDescent="0.2">
      <c r="A19" s="483">
        <v>10</v>
      </c>
      <c r="B19" s="490">
        <v>8</v>
      </c>
      <c r="C19" s="491">
        <f>[9]стоимость!J12</f>
        <v>655793</v>
      </c>
      <c r="D19" s="493"/>
      <c r="E19" s="493"/>
      <c r="F19" s="493"/>
      <c r="G19" s="493"/>
      <c r="H19" s="493"/>
      <c r="I19" s="497"/>
      <c r="J19" s="493"/>
      <c r="K19" s="493"/>
      <c r="L19" s="493"/>
      <c r="M19" s="497"/>
      <c r="N19" s="493"/>
      <c r="O19" s="493">
        <v>90</v>
      </c>
      <c r="P19" s="497"/>
      <c r="Q19" s="497"/>
      <c r="R19" s="493"/>
      <c r="S19" s="492"/>
      <c r="T19" s="493">
        <v>27</v>
      </c>
      <c r="U19" s="493"/>
      <c r="V19" s="492"/>
      <c r="W19" s="493"/>
      <c r="X19" s="493"/>
      <c r="Y19" s="493"/>
      <c r="Z19" s="494"/>
      <c r="AA19" s="494"/>
      <c r="AB19" s="494"/>
      <c r="AC19" s="494"/>
      <c r="AD19" s="493"/>
      <c r="AE19" s="493"/>
      <c r="AF19" s="492"/>
      <c r="AG19" s="495">
        <v>117</v>
      </c>
      <c r="AH19" s="494"/>
      <c r="AI19" s="495">
        <v>117</v>
      </c>
    </row>
    <row r="20" spans="1:35" s="486" customFormat="1" ht="14.25" customHeight="1" x14ac:dyDescent="0.2">
      <c r="A20" s="483">
        <v>11</v>
      </c>
      <c r="B20" s="490">
        <v>9</v>
      </c>
      <c r="C20" s="491">
        <f>[9]стоимость!J13</f>
        <v>1881627</v>
      </c>
      <c r="D20" s="499"/>
      <c r="E20" s="499"/>
      <c r="F20" s="499"/>
      <c r="G20" s="499"/>
      <c r="H20" s="499"/>
      <c r="I20" s="500"/>
      <c r="J20" s="499"/>
      <c r="K20" s="499"/>
      <c r="L20" s="499"/>
      <c r="M20" s="500"/>
      <c r="N20" s="499"/>
      <c r="O20" s="493">
        <v>35</v>
      </c>
      <c r="P20" s="500"/>
      <c r="Q20" s="500"/>
      <c r="R20" s="499"/>
      <c r="S20" s="492"/>
      <c r="T20" s="499"/>
      <c r="U20" s="499"/>
      <c r="V20" s="492"/>
      <c r="W20" s="493"/>
      <c r="X20" s="493"/>
      <c r="Y20" s="493"/>
      <c r="Z20" s="494"/>
      <c r="AA20" s="494"/>
      <c r="AB20" s="494"/>
      <c r="AC20" s="494"/>
      <c r="AD20" s="493"/>
      <c r="AE20" s="493"/>
      <c r="AF20" s="492"/>
      <c r="AG20" s="495">
        <v>35</v>
      </c>
      <c r="AH20" s="494"/>
      <c r="AI20" s="495">
        <v>35</v>
      </c>
    </row>
    <row r="21" spans="1:35" s="482" customFormat="1" ht="21" customHeight="1" x14ac:dyDescent="0.2">
      <c r="A21" s="480"/>
      <c r="B21" s="950" t="s">
        <v>422</v>
      </c>
      <c r="C21" s="951"/>
      <c r="D21" s="488">
        <v>263</v>
      </c>
      <c r="E21" s="488">
        <v>156</v>
      </c>
      <c r="F21" s="488">
        <v>0</v>
      </c>
      <c r="G21" s="488">
        <v>0</v>
      </c>
      <c r="H21" s="488">
        <v>0</v>
      </c>
      <c r="I21" s="488">
        <v>0</v>
      </c>
      <c r="J21" s="488">
        <v>0</v>
      </c>
      <c r="K21" s="488">
        <v>138</v>
      </c>
      <c r="L21" s="488">
        <v>17</v>
      </c>
      <c r="M21" s="488">
        <v>0</v>
      </c>
      <c r="N21" s="488">
        <v>0</v>
      </c>
      <c r="O21" s="488">
        <v>0</v>
      </c>
      <c r="P21" s="488">
        <v>119</v>
      </c>
      <c r="Q21" s="488">
        <v>0</v>
      </c>
      <c r="R21" s="488">
        <v>3</v>
      </c>
      <c r="S21" s="488">
        <v>0</v>
      </c>
      <c r="T21" s="488">
        <v>158</v>
      </c>
      <c r="U21" s="488">
        <v>19</v>
      </c>
      <c r="V21" s="488">
        <v>0</v>
      </c>
      <c r="W21" s="488">
        <v>0</v>
      </c>
      <c r="X21" s="488">
        <v>0</v>
      </c>
      <c r="Y21" s="488">
        <v>0</v>
      </c>
      <c r="Z21" s="488">
        <v>0</v>
      </c>
      <c r="AA21" s="488">
        <v>0</v>
      </c>
      <c r="AB21" s="488">
        <v>0</v>
      </c>
      <c r="AC21" s="488">
        <v>0</v>
      </c>
      <c r="AD21" s="488">
        <v>0</v>
      </c>
      <c r="AE21" s="488">
        <v>0</v>
      </c>
      <c r="AF21" s="488">
        <v>0</v>
      </c>
      <c r="AG21" s="488">
        <v>873</v>
      </c>
      <c r="AH21" s="488">
        <v>0</v>
      </c>
      <c r="AI21" s="488">
        <v>873</v>
      </c>
    </row>
    <row r="22" spans="1:35" s="486" customFormat="1" ht="14.25" customHeight="1" x14ac:dyDescent="0.2">
      <c r="A22" s="483">
        <v>12</v>
      </c>
      <c r="B22" s="490">
        <v>10</v>
      </c>
      <c r="C22" s="491">
        <f>[9]стоимость!J14</f>
        <v>193886</v>
      </c>
      <c r="D22" s="492">
        <v>240</v>
      </c>
      <c r="E22" s="492">
        <v>143</v>
      </c>
      <c r="F22" s="492"/>
      <c r="G22" s="492"/>
      <c r="H22" s="492">
        <v>0</v>
      </c>
      <c r="I22" s="492"/>
      <c r="J22" s="492"/>
      <c r="K22" s="492">
        <v>83</v>
      </c>
      <c r="L22" s="501">
        <v>4</v>
      </c>
      <c r="M22" s="492"/>
      <c r="N22" s="492"/>
      <c r="O22" s="493"/>
      <c r="P22" s="492">
        <v>103</v>
      </c>
      <c r="Q22" s="492"/>
      <c r="R22" s="492">
        <v>0</v>
      </c>
      <c r="S22" s="492"/>
      <c r="T22" s="492">
        <v>136</v>
      </c>
      <c r="U22" s="493">
        <v>2</v>
      </c>
      <c r="V22" s="493"/>
      <c r="W22" s="493"/>
      <c r="X22" s="493"/>
      <c r="Y22" s="493"/>
      <c r="Z22" s="494"/>
      <c r="AA22" s="494"/>
      <c r="AB22" s="494"/>
      <c r="AC22" s="494"/>
      <c r="AD22" s="493"/>
      <c r="AE22" s="493"/>
      <c r="AF22" s="492"/>
      <c r="AG22" s="495">
        <v>711</v>
      </c>
      <c r="AH22" s="494"/>
      <c r="AI22" s="495">
        <v>711</v>
      </c>
    </row>
    <row r="23" spans="1:35" s="486" customFormat="1" ht="14.25" customHeight="1" x14ac:dyDescent="0.2">
      <c r="A23" s="483">
        <v>13</v>
      </c>
      <c r="B23" s="490">
        <v>11</v>
      </c>
      <c r="C23" s="491">
        <f>[9]стоимость!J15</f>
        <v>295102</v>
      </c>
      <c r="D23" s="492"/>
      <c r="E23" s="492"/>
      <c r="F23" s="492"/>
      <c r="G23" s="492"/>
      <c r="H23" s="492"/>
      <c r="I23" s="502"/>
      <c r="J23" s="492"/>
      <c r="K23" s="492"/>
      <c r="L23" s="501"/>
      <c r="M23" s="502"/>
      <c r="N23" s="492"/>
      <c r="O23" s="493"/>
      <c r="P23" s="502"/>
      <c r="Q23" s="502"/>
      <c r="R23" s="492"/>
      <c r="S23" s="492"/>
      <c r="T23" s="492"/>
      <c r="U23" s="493"/>
      <c r="V23" s="493"/>
      <c r="W23" s="493"/>
      <c r="X23" s="493"/>
      <c r="Y23" s="493"/>
      <c r="Z23" s="494"/>
      <c r="AA23" s="494"/>
      <c r="AB23" s="494"/>
      <c r="AC23" s="494"/>
      <c r="AD23" s="493"/>
      <c r="AE23" s="493"/>
      <c r="AF23" s="492"/>
      <c r="AG23" s="495">
        <v>0</v>
      </c>
      <c r="AH23" s="494"/>
      <c r="AI23" s="495">
        <v>0</v>
      </c>
    </row>
    <row r="24" spans="1:35" s="486" customFormat="1" ht="14.25" customHeight="1" x14ac:dyDescent="0.2">
      <c r="A24" s="483">
        <v>14</v>
      </c>
      <c r="B24" s="490">
        <v>12</v>
      </c>
      <c r="C24" s="491">
        <f>[9]стоимость!J16</f>
        <v>188542</v>
      </c>
      <c r="D24" s="493">
        <v>10</v>
      </c>
      <c r="E24" s="493">
        <v>3</v>
      </c>
      <c r="F24" s="493"/>
      <c r="G24" s="493"/>
      <c r="H24" s="493"/>
      <c r="I24" s="497"/>
      <c r="J24" s="493"/>
      <c r="K24" s="493"/>
      <c r="L24" s="501"/>
      <c r="M24" s="497"/>
      <c r="N24" s="493"/>
      <c r="O24" s="493"/>
      <c r="P24" s="493">
        <v>6</v>
      </c>
      <c r="Q24" s="497"/>
      <c r="R24" s="493"/>
      <c r="S24" s="493"/>
      <c r="T24" s="493">
        <v>10</v>
      </c>
      <c r="U24" s="493"/>
      <c r="V24" s="493"/>
      <c r="W24" s="493"/>
      <c r="X24" s="493"/>
      <c r="Y24" s="493"/>
      <c r="Z24" s="494"/>
      <c r="AA24" s="494"/>
      <c r="AB24" s="494"/>
      <c r="AC24" s="494"/>
      <c r="AD24" s="493"/>
      <c r="AE24" s="493"/>
      <c r="AF24" s="492"/>
      <c r="AG24" s="495">
        <v>29</v>
      </c>
      <c r="AH24" s="494"/>
      <c r="AI24" s="495">
        <v>29</v>
      </c>
    </row>
    <row r="25" spans="1:35" s="486" customFormat="1" ht="12.75" customHeight="1" x14ac:dyDescent="0.2">
      <c r="A25" s="483">
        <v>15</v>
      </c>
      <c r="B25" s="490">
        <v>13</v>
      </c>
      <c r="C25" s="491">
        <f>[9]стоимость!J17</f>
        <v>270597</v>
      </c>
      <c r="D25" s="499"/>
      <c r="E25" s="499"/>
      <c r="F25" s="499"/>
      <c r="G25" s="499"/>
      <c r="H25" s="499"/>
      <c r="I25" s="500"/>
      <c r="J25" s="499"/>
      <c r="K25" s="499">
        <v>55</v>
      </c>
      <c r="L25" s="501">
        <v>13</v>
      </c>
      <c r="M25" s="500"/>
      <c r="N25" s="499"/>
      <c r="O25" s="493"/>
      <c r="P25" s="500"/>
      <c r="Q25" s="500"/>
      <c r="R25" s="493"/>
      <c r="S25" s="499"/>
      <c r="T25" s="499"/>
      <c r="U25" s="493"/>
      <c r="V25" s="493"/>
      <c r="W25" s="493"/>
      <c r="X25" s="493"/>
      <c r="Y25" s="493"/>
      <c r="Z25" s="494"/>
      <c r="AA25" s="494"/>
      <c r="AB25" s="494"/>
      <c r="AC25" s="494"/>
      <c r="AD25" s="493"/>
      <c r="AE25" s="493"/>
      <c r="AF25" s="492"/>
      <c r="AG25" s="495">
        <v>68</v>
      </c>
      <c r="AH25" s="494"/>
      <c r="AI25" s="495">
        <v>68</v>
      </c>
    </row>
    <row r="26" spans="1:35" s="486" customFormat="1" ht="14.25" customHeight="1" x14ac:dyDescent="0.2">
      <c r="A26" s="483">
        <v>16</v>
      </c>
      <c r="B26" s="490">
        <v>14</v>
      </c>
      <c r="C26" s="491">
        <f>[9]стоимость!J18</f>
        <v>356139</v>
      </c>
      <c r="D26" s="493">
        <v>10</v>
      </c>
      <c r="E26" s="493"/>
      <c r="F26" s="493"/>
      <c r="G26" s="493"/>
      <c r="H26" s="493"/>
      <c r="I26" s="497"/>
      <c r="J26" s="493"/>
      <c r="K26" s="493"/>
      <c r="L26" s="501"/>
      <c r="M26" s="497"/>
      <c r="N26" s="493"/>
      <c r="O26" s="493"/>
      <c r="P26" s="497"/>
      <c r="Q26" s="497"/>
      <c r="R26" s="493">
        <v>3</v>
      </c>
      <c r="S26" s="493"/>
      <c r="T26" s="493">
        <v>12</v>
      </c>
      <c r="U26" s="493">
        <v>17</v>
      </c>
      <c r="V26" s="493"/>
      <c r="W26" s="493"/>
      <c r="X26" s="493"/>
      <c r="Y26" s="493"/>
      <c r="Z26" s="494"/>
      <c r="AA26" s="494"/>
      <c r="AB26" s="494"/>
      <c r="AC26" s="494"/>
      <c r="AD26" s="493"/>
      <c r="AE26" s="493"/>
      <c r="AF26" s="492"/>
      <c r="AG26" s="495">
        <v>42</v>
      </c>
      <c r="AH26" s="494"/>
      <c r="AI26" s="495">
        <v>42</v>
      </c>
    </row>
    <row r="27" spans="1:35" s="486" customFormat="1" ht="14.25" customHeight="1" x14ac:dyDescent="0.2">
      <c r="A27" s="483">
        <v>17</v>
      </c>
      <c r="B27" s="490">
        <v>15</v>
      </c>
      <c r="C27" s="491">
        <f>[9]стоимость!J19</f>
        <v>475409</v>
      </c>
      <c r="D27" s="499">
        <v>3</v>
      </c>
      <c r="E27" s="499">
        <v>10</v>
      </c>
      <c r="F27" s="499"/>
      <c r="G27" s="499"/>
      <c r="H27" s="499"/>
      <c r="I27" s="500"/>
      <c r="J27" s="499"/>
      <c r="K27" s="503"/>
      <c r="L27" s="501"/>
      <c r="M27" s="500"/>
      <c r="N27" s="499"/>
      <c r="O27" s="499"/>
      <c r="P27" s="499">
        <v>10</v>
      </c>
      <c r="Q27" s="500"/>
      <c r="R27" s="499"/>
      <c r="S27" s="499"/>
      <c r="T27" s="499"/>
      <c r="U27" s="493"/>
      <c r="V27" s="493"/>
      <c r="W27" s="493"/>
      <c r="X27" s="493"/>
      <c r="Y27" s="493"/>
      <c r="Z27" s="494"/>
      <c r="AA27" s="494"/>
      <c r="AB27" s="494"/>
      <c r="AC27" s="494"/>
      <c r="AD27" s="493"/>
      <c r="AE27" s="493"/>
      <c r="AF27" s="492"/>
      <c r="AG27" s="495">
        <v>23</v>
      </c>
      <c r="AH27" s="494"/>
      <c r="AI27" s="495">
        <v>23</v>
      </c>
    </row>
    <row r="28" spans="1:35" s="482" customFormat="1" ht="18.75" customHeight="1" x14ac:dyDescent="0.2">
      <c r="A28" s="480"/>
      <c r="B28" s="950" t="s">
        <v>423</v>
      </c>
      <c r="C28" s="951"/>
      <c r="D28" s="488">
        <v>160</v>
      </c>
      <c r="E28" s="488">
        <v>0</v>
      </c>
      <c r="F28" s="488">
        <v>600</v>
      </c>
      <c r="G28" s="488">
        <v>0</v>
      </c>
      <c r="H28" s="488">
        <v>0</v>
      </c>
      <c r="I28" s="488">
        <v>0</v>
      </c>
      <c r="J28" s="488">
        <v>0</v>
      </c>
      <c r="K28" s="488">
        <v>210</v>
      </c>
      <c r="L28" s="488">
        <v>90</v>
      </c>
      <c r="M28" s="488">
        <v>0</v>
      </c>
      <c r="N28" s="488">
        <v>0</v>
      </c>
      <c r="O28" s="488">
        <v>0</v>
      </c>
      <c r="P28" s="488">
        <v>0</v>
      </c>
      <c r="Q28" s="488">
        <v>80</v>
      </c>
      <c r="R28" s="488">
        <v>0</v>
      </c>
      <c r="S28" s="488">
        <v>0</v>
      </c>
      <c r="T28" s="488">
        <v>0</v>
      </c>
      <c r="U28" s="488">
        <v>0</v>
      </c>
      <c r="V28" s="488">
        <v>0</v>
      </c>
      <c r="W28" s="488">
        <v>0</v>
      </c>
      <c r="X28" s="488">
        <v>0</v>
      </c>
      <c r="Y28" s="488">
        <v>0</v>
      </c>
      <c r="Z28" s="488">
        <v>0</v>
      </c>
      <c r="AA28" s="488">
        <v>0</v>
      </c>
      <c r="AB28" s="488">
        <v>0</v>
      </c>
      <c r="AC28" s="488">
        <v>0</v>
      </c>
      <c r="AD28" s="488">
        <v>0</v>
      </c>
      <c r="AE28" s="488">
        <v>0</v>
      </c>
      <c r="AF28" s="488">
        <v>0</v>
      </c>
      <c r="AG28" s="488">
        <v>1140</v>
      </c>
      <c r="AH28" s="488">
        <v>0</v>
      </c>
      <c r="AI28" s="488">
        <v>1140</v>
      </c>
    </row>
    <row r="29" spans="1:35" s="486" customFormat="1" ht="14.25" customHeight="1" x14ac:dyDescent="0.2">
      <c r="A29" s="483">
        <v>18</v>
      </c>
      <c r="B29" s="490">
        <v>16</v>
      </c>
      <c r="C29" s="491">
        <f>[9]стоимость!J20</f>
        <v>297453</v>
      </c>
      <c r="D29" s="492">
        <v>130</v>
      </c>
      <c r="E29" s="492"/>
      <c r="F29" s="492">
        <v>550</v>
      </c>
      <c r="G29" s="504"/>
      <c r="H29" s="492"/>
      <c r="I29" s="492"/>
      <c r="J29" s="492"/>
      <c r="K29" s="492">
        <v>165</v>
      </c>
      <c r="L29" s="492">
        <v>30</v>
      </c>
      <c r="M29" s="492"/>
      <c r="N29" s="492"/>
      <c r="O29" s="492"/>
      <c r="P29" s="492"/>
      <c r="Q29" s="492">
        <v>75</v>
      </c>
      <c r="R29" s="492"/>
      <c r="S29" s="492"/>
      <c r="T29" s="492"/>
      <c r="U29" s="492"/>
      <c r="V29" s="492"/>
      <c r="W29" s="492"/>
      <c r="X29" s="492"/>
      <c r="Y29" s="492"/>
      <c r="Z29" s="494"/>
      <c r="AA29" s="494"/>
      <c r="AB29" s="494"/>
      <c r="AC29" s="494"/>
      <c r="AD29" s="492"/>
      <c r="AE29" s="492"/>
      <c r="AF29" s="492"/>
      <c r="AG29" s="495">
        <v>950</v>
      </c>
      <c r="AH29" s="494"/>
      <c r="AI29" s="495">
        <v>950</v>
      </c>
    </row>
    <row r="30" spans="1:35" s="486" customFormat="1" ht="14.25" customHeight="1" x14ac:dyDescent="0.2">
      <c r="A30" s="483">
        <v>19</v>
      </c>
      <c r="B30" s="490">
        <v>17</v>
      </c>
      <c r="C30" s="491">
        <f>[9]стоимость!J21</f>
        <v>609814</v>
      </c>
      <c r="D30" s="492">
        <v>30</v>
      </c>
      <c r="E30" s="492"/>
      <c r="F30" s="492">
        <v>50</v>
      </c>
      <c r="G30" s="492"/>
      <c r="H30" s="492"/>
      <c r="I30" s="492"/>
      <c r="J30" s="492"/>
      <c r="K30" s="492">
        <v>45</v>
      </c>
      <c r="L30" s="492">
        <v>60</v>
      </c>
      <c r="M30" s="492"/>
      <c r="N30" s="492"/>
      <c r="O30" s="492"/>
      <c r="P30" s="492"/>
      <c r="Q30" s="492">
        <v>5</v>
      </c>
      <c r="R30" s="492"/>
      <c r="S30" s="492"/>
      <c r="T30" s="492"/>
      <c r="U30" s="492"/>
      <c r="V30" s="492"/>
      <c r="W30" s="492"/>
      <c r="X30" s="492"/>
      <c r="Y30" s="492"/>
      <c r="Z30" s="494"/>
      <c r="AA30" s="494"/>
      <c r="AB30" s="494"/>
      <c r="AC30" s="494"/>
      <c r="AD30" s="492"/>
      <c r="AE30" s="492"/>
      <c r="AF30" s="492"/>
      <c r="AG30" s="495">
        <v>190</v>
      </c>
      <c r="AH30" s="494"/>
      <c r="AI30" s="495">
        <v>190</v>
      </c>
    </row>
    <row r="31" spans="1:35" s="482" customFormat="1" ht="18.75" customHeight="1" x14ac:dyDescent="0.2">
      <c r="A31" s="480"/>
      <c r="B31" s="950" t="s">
        <v>424</v>
      </c>
      <c r="C31" s="951"/>
      <c r="D31" s="488">
        <v>250</v>
      </c>
      <c r="E31" s="488">
        <v>0</v>
      </c>
      <c r="F31" s="488">
        <v>0</v>
      </c>
      <c r="G31" s="488">
        <v>0</v>
      </c>
      <c r="H31" s="488">
        <v>1687</v>
      </c>
      <c r="I31" s="488">
        <v>0</v>
      </c>
      <c r="J31" s="488">
        <v>0</v>
      </c>
      <c r="K31" s="488">
        <v>99</v>
      </c>
      <c r="L31" s="488">
        <v>0</v>
      </c>
      <c r="M31" s="488">
        <v>0</v>
      </c>
      <c r="N31" s="488">
        <v>0</v>
      </c>
      <c r="O31" s="488">
        <v>0</v>
      </c>
      <c r="P31" s="488">
        <v>0</v>
      </c>
      <c r="Q31" s="488">
        <v>0</v>
      </c>
      <c r="R31" s="488">
        <v>0</v>
      </c>
      <c r="S31" s="488">
        <v>0</v>
      </c>
      <c r="T31" s="488">
        <v>145</v>
      </c>
      <c r="U31" s="488">
        <v>0</v>
      </c>
      <c r="V31" s="488">
        <v>0</v>
      </c>
      <c r="W31" s="488">
        <v>0</v>
      </c>
      <c r="X31" s="488">
        <v>10</v>
      </c>
      <c r="Y31" s="488">
        <v>0</v>
      </c>
      <c r="Z31" s="488">
        <v>0</v>
      </c>
      <c r="AA31" s="488">
        <v>0</v>
      </c>
      <c r="AB31" s="488">
        <v>0</v>
      </c>
      <c r="AC31" s="488">
        <v>0</v>
      </c>
      <c r="AD31" s="488">
        <v>0</v>
      </c>
      <c r="AE31" s="488">
        <v>0</v>
      </c>
      <c r="AF31" s="488">
        <v>5</v>
      </c>
      <c r="AG31" s="488">
        <v>2196</v>
      </c>
      <c r="AH31" s="488">
        <v>0</v>
      </c>
      <c r="AI31" s="488">
        <v>2196</v>
      </c>
    </row>
    <row r="32" spans="1:35" s="486" customFormat="1" ht="14.25" customHeight="1" x14ac:dyDescent="0.2">
      <c r="A32" s="483">
        <v>20</v>
      </c>
      <c r="B32" s="490">
        <v>18</v>
      </c>
      <c r="C32" s="491">
        <f>[9]стоимость!J22</f>
        <v>227121</v>
      </c>
      <c r="D32" s="493">
        <v>100</v>
      </c>
      <c r="E32" s="493"/>
      <c r="F32" s="493"/>
      <c r="G32" s="493"/>
      <c r="H32" s="493">
        <v>1267</v>
      </c>
      <c r="I32" s="493"/>
      <c r="J32" s="493"/>
      <c r="K32" s="493">
        <v>1</v>
      </c>
      <c r="L32" s="493"/>
      <c r="M32" s="493"/>
      <c r="N32" s="493"/>
      <c r="O32" s="493"/>
      <c r="P32" s="493"/>
      <c r="Q32" s="493"/>
      <c r="R32" s="493"/>
      <c r="S32" s="493"/>
      <c r="T32" s="493">
        <v>145</v>
      </c>
      <c r="U32" s="493"/>
      <c r="V32" s="493"/>
      <c r="W32" s="493"/>
      <c r="X32" s="493">
        <v>10</v>
      </c>
      <c r="Y32" s="493"/>
      <c r="Z32" s="494"/>
      <c r="AA32" s="494"/>
      <c r="AB32" s="494"/>
      <c r="AC32" s="494"/>
      <c r="AD32" s="493"/>
      <c r="AE32" s="493"/>
      <c r="AF32" s="492">
        <v>5</v>
      </c>
      <c r="AG32" s="495">
        <v>1528</v>
      </c>
      <c r="AH32" s="494"/>
      <c r="AI32" s="495">
        <v>1528</v>
      </c>
    </row>
    <row r="33" spans="1:35" s="486" customFormat="1" ht="14.25" customHeight="1" x14ac:dyDescent="0.2">
      <c r="A33" s="483">
        <v>21</v>
      </c>
      <c r="B33" s="490">
        <v>19</v>
      </c>
      <c r="C33" s="491">
        <f>[9]стоимость!J23</f>
        <v>123238</v>
      </c>
      <c r="D33" s="493"/>
      <c r="E33" s="493"/>
      <c r="F33" s="493"/>
      <c r="G33" s="493"/>
      <c r="H33" s="493"/>
      <c r="I33" s="493"/>
      <c r="J33" s="493"/>
      <c r="K33" s="493"/>
      <c r="L33" s="493"/>
      <c r="M33" s="493"/>
      <c r="N33" s="493"/>
      <c r="O33" s="493"/>
      <c r="P33" s="493"/>
      <c r="Q33" s="493"/>
      <c r="R33" s="493"/>
      <c r="S33" s="493"/>
      <c r="T33" s="493"/>
      <c r="U33" s="493"/>
      <c r="V33" s="493"/>
      <c r="W33" s="493"/>
      <c r="X33" s="493"/>
      <c r="Y33" s="493"/>
      <c r="Z33" s="494"/>
      <c r="AA33" s="494"/>
      <c r="AB33" s="494"/>
      <c r="AC33" s="494"/>
      <c r="AD33" s="493"/>
      <c r="AE33" s="493"/>
      <c r="AF33" s="492"/>
      <c r="AG33" s="495">
        <v>0</v>
      </c>
      <c r="AH33" s="494"/>
      <c r="AI33" s="495">
        <v>0</v>
      </c>
    </row>
    <row r="34" spans="1:35" s="486" customFormat="1" ht="14.25" customHeight="1" x14ac:dyDescent="0.2">
      <c r="A34" s="483">
        <v>22</v>
      </c>
      <c r="B34" s="490">
        <v>20</v>
      </c>
      <c r="C34" s="491">
        <f>[9]стоимость!J24</f>
        <v>163933</v>
      </c>
      <c r="D34" s="493">
        <v>0</v>
      </c>
      <c r="E34" s="493"/>
      <c r="F34" s="493"/>
      <c r="G34" s="493"/>
      <c r="H34" s="493">
        <v>0</v>
      </c>
      <c r="I34" s="497"/>
      <c r="J34" s="493"/>
      <c r="K34" s="493">
        <v>98</v>
      </c>
      <c r="L34" s="493"/>
      <c r="M34" s="493"/>
      <c r="N34" s="493"/>
      <c r="O34" s="493"/>
      <c r="P34" s="497"/>
      <c r="Q34" s="497"/>
      <c r="R34" s="493"/>
      <c r="S34" s="493"/>
      <c r="T34" s="493"/>
      <c r="U34" s="493"/>
      <c r="V34" s="493"/>
      <c r="W34" s="493"/>
      <c r="X34" s="493"/>
      <c r="Y34" s="493"/>
      <c r="Z34" s="494"/>
      <c r="AA34" s="494"/>
      <c r="AB34" s="494"/>
      <c r="AC34" s="494"/>
      <c r="AD34" s="493"/>
      <c r="AE34" s="493"/>
      <c r="AF34" s="492"/>
      <c r="AG34" s="495">
        <v>98</v>
      </c>
      <c r="AH34" s="494"/>
      <c r="AI34" s="495">
        <v>98</v>
      </c>
    </row>
    <row r="35" spans="1:35" s="486" customFormat="1" ht="14.25" customHeight="1" x14ac:dyDescent="0.2">
      <c r="A35" s="483">
        <v>0</v>
      </c>
      <c r="B35" s="490">
        <v>21</v>
      </c>
      <c r="C35" s="491">
        <f>[9]стоимость!J25</f>
        <v>460267</v>
      </c>
      <c r="D35" s="493">
        <v>150</v>
      </c>
      <c r="E35" s="493"/>
      <c r="F35" s="493"/>
      <c r="G35" s="493"/>
      <c r="H35" s="493">
        <v>250</v>
      </c>
      <c r="I35" s="497"/>
      <c r="J35" s="493"/>
      <c r="K35" s="493"/>
      <c r="L35" s="493"/>
      <c r="M35" s="493"/>
      <c r="N35" s="493"/>
      <c r="O35" s="493"/>
      <c r="P35" s="497"/>
      <c r="Q35" s="497"/>
      <c r="R35" s="493"/>
      <c r="S35" s="493"/>
      <c r="T35" s="493"/>
      <c r="U35" s="493"/>
      <c r="V35" s="493"/>
      <c r="W35" s="493"/>
      <c r="X35" s="493"/>
      <c r="Y35" s="493"/>
      <c r="Z35" s="494"/>
      <c r="AA35" s="494"/>
      <c r="AB35" s="494"/>
      <c r="AC35" s="494"/>
      <c r="AD35" s="493"/>
      <c r="AE35" s="493"/>
      <c r="AF35" s="492"/>
      <c r="AG35" s="495">
        <v>400</v>
      </c>
      <c r="AH35" s="494"/>
      <c r="AI35" s="495">
        <v>400</v>
      </c>
    </row>
    <row r="36" spans="1:35" s="486" customFormat="1" ht="14.25" customHeight="1" x14ac:dyDescent="0.2">
      <c r="A36" s="483">
        <v>23</v>
      </c>
      <c r="B36" s="490">
        <v>22</v>
      </c>
      <c r="C36" s="491">
        <f>[9]стоимость!J26</f>
        <v>87179</v>
      </c>
      <c r="D36" s="493"/>
      <c r="E36" s="493"/>
      <c r="F36" s="493"/>
      <c r="G36" s="493"/>
      <c r="H36" s="493">
        <v>10</v>
      </c>
      <c r="I36" s="497"/>
      <c r="J36" s="493"/>
      <c r="K36" s="493"/>
      <c r="L36" s="493"/>
      <c r="M36" s="493"/>
      <c r="N36" s="493"/>
      <c r="O36" s="493"/>
      <c r="P36" s="497"/>
      <c r="Q36" s="497"/>
      <c r="R36" s="493"/>
      <c r="S36" s="493"/>
      <c r="T36" s="493"/>
      <c r="U36" s="493"/>
      <c r="V36" s="493"/>
      <c r="W36" s="493"/>
      <c r="X36" s="493"/>
      <c r="Y36" s="493"/>
      <c r="Z36" s="494"/>
      <c r="AA36" s="494"/>
      <c r="AB36" s="494"/>
      <c r="AC36" s="494"/>
      <c r="AD36" s="493"/>
      <c r="AE36" s="493"/>
      <c r="AF36" s="492"/>
      <c r="AG36" s="495">
        <v>10</v>
      </c>
      <c r="AH36" s="494"/>
      <c r="AI36" s="495">
        <v>10</v>
      </c>
    </row>
    <row r="37" spans="1:35" s="486" customFormat="1" ht="14.25" customHeight="1" x14ac:dyDescent="0.2">
      <c r="A37" s="483">
        <v>24</v>
      </c>
      <c r="B37" s="490">
        <v>23</v>
      </c>
      <c r="C37" s="491">
        <f>[9]стоимость!J27</f>
        <v>196969</v>
      </c>
      <c r="D37" s="493"/>
      <c r="E37" s="493"/>
      <c r="F37" s="493"/>
      <c r="G37" s="493"/>
      <c r="H37" s="493">
        <v>160</v>
      </c>
      <c r="I37" s="497"/>
      <c r="J37" s="493"/>
      <c r="K37" s="493"/>
      <c r="L37" s="493"/>
      <c r="M37" s="493"/>
      <c r="N37" s="493"/>
      <c r="O37" s="493"/>
      <c r="P37" s="497"/>
      <c r="Q37" s="497"/>
      <c r="R37" s="493"/>
      <c r="S37" s="493"/>
      <c r="T37" s="493"/>
      <c r="U37" s="493"/>
      <c r="V37" s="493"/>
      <c r="W37" s="493"/>
      <c r="X37" s="493"/>
      <c r="Y37" s="493"/>
      <c r="Z37" s="494"/>
      <c r="AA37" s="494"/>
      <c r="AB37" s="494"/>
      <c r="AC37" s="494"/>
      <c r="AD37" s="493"/>
      <c r="AE37" s="493"/>
      <c r="AF37" s="492"/>
      <c r="AG37" s="495">
        <v>160</v>
      </c>
      <c r="AH37" s="494"/>
      <c r="AI37" s="495">
        <v>160</v>
      </c>
    </row>
    <row r="38" spans="1:35" s="486" customFormat="1" ht="14.25" customHeight="1" x14ac:dyDescent="0.2">
      <c r="A38" s="483">
        <v>25</v>
      </c>
      <c r="B38" s="490">
        <v>24</v>
      </c>
      <c r="C38" s="491">
        <f>[9]стоимость!J28</f>
        <v>262005</v>
      </c>
      <c r="D38" s="493"/>
      <c r="E38" s="493"/>
      <c r="F38" s="493"/>
      <c r="G38" s="493"/>
      <c r="H38" s="493"/>
      <c r="I38" s="497"/>
      <c r="J38" s="493"/>
      <c r="K38" s="493"/>
      <c r="L38" s="493"/>
      <c r="M38" s="493"/>
      <c r="N38" s="493"/>
      <c r="O38" s="493"/>
      <c r="P38" s="497"/>
      <c r="Q38" s="497"/>
      <c r="R38" s="493"/>
      <c r="S38" s="493"/>
      <c r="T38" s="493"/>
      <c r="U38" s="493"/>
      <c r="V38" s="493"/>
      <c r="W38" s="493"/>
      <c r="X38" s="493"/>
      <c r="Y38" s="493"/>
      <c r="Z38" s="494"/>
      <c r="AA38" s="494"/>
      <c r="AB38" s="494"/>
      <c r="AC38" s="494"/>
      <c r="AD38" s="493"/>
      <c r="AE38" s="493"/>
      <c r="AF38" s="492"/>
      <c r="AG38" s="495">
        <v>0</v>
      </c>
      <c r="AH38" s="494"/>
      <c r="AI38" s="495">
        <v>0</v>
      </c>
    </row>
    <row r="39" spans="1:35" s="482" customFormat="1" ht="19.5" customHeight="1" x14ac:dyDescent="0.2">
      <c r="A39" s="480"/>
      <c r="B39" s="958" t="s">
        <v>425</v>
      </c>
      <c r="C39" s="958"/>
      <c r="D39" s="488">
        <v>147</v>
      </c>
      <c r="E39" s="488">
        <v>4</v>
      </c>
      <c r="F39" s="488">
        <v>0</v>
      </c>
      <c r="G39" s="488">
        <v>0</v>
      </c>
      <c r="H39" s="488">
        <v>0</v>
      </c>
      <c r="I39" s="488">
        <v>0</v>
      </c>
      <c r="J39" s="488">
        <v>0</v>
      </c>
      <c r="K39" s="488">
        <v>62</v>
      </c>
      <c r="L39" s="488">
        <v>0</v>
      </c>
      <c r="M39" s="488">
        <v>0</v>
      </c>
      <c r="N39" s="488">
        <v>100</v>
      </c>
      <c r="O39" s="488">
        <v>0</v>
      </c>
      <c r="P39" s="488">
        <v>73</v>
      </c>
      <c r="Q39" s="488">
        <v>0</v>
      </c>
      <c r="R39" s="488">
        <v>0</v>
      </c>
      <c r="S39" s="488">
        <v>0</v>
      </c>
      <c r="T39" s="488">
        <v>0</v>
      </c>
      <c r="U39" s="488">
        <v>0</v>
      </c>
      <c r="V39" s="488">
        <v>0</v>
      </c>
      <c r="W39" s="488">
        <v>0</v>
      </c>
      <c r="X39" s="488">
        <v>0</v>
      </c>
      <c r="Y39" s="488">
        <v>0</v>
      </c>
      <c r="Z39" s="488">
        <v>0</v>
      </c>
      <c r="AA39" s="488">
        <v>0</v>
      </c>
      <c r="AB39" s="488">
        <v>0</v>
      </c>
      <c r="AC39" s="488">
        <v>0</v>
      </c>
      <c r="AD39" s="488">
        <v>22</v>
      </c>
      <c r="AE39" s="488">
        <v>0</v>
      </c>
      <c r="AF39" s="488">
        <v>5</v>
      </c>
      <c r="AG39" s="488">
        <v>413</v>
      </c>
      <c r="AH39" s="488">
        <v>0</v>
      </c>
      <c r="AI39" s="488">
        <v>413</v>
      </c>
    </row>
    <row r="40" spans="1:35" s="486" customFormat="1" ht="15" customHeight="1" x14ac:dyDescent="0.2">
      <c r="A40" s="483">
        <v>26</v>
      </c>
      <c r="B40" s="490">
        <v>25</v>
      </c>
      <c r="C40" s="491">
        <f>[9]стоимость!J29</f>
        <v>136012</v>
      </c>
      <c r="D40" s="493">
        <v>120</v>
      </c>
      <c r="E40" s="493"/>
      <c r="F40" s="493"/>
      <c r="G40" s="493"/>
      <c r="H40" s="493"/>
      <c r="I40" s="493"/>
      <c r="J40" s="493"/>
      <c r="K40" s="493">
        <v>25</v>
      </c>
      <c r="L40" s="493"/>
      <c r="M40" s="493"/>
      <c r="N40" s="493">
        <v>60</v>
      </c>
      <c r="O40" s="493"/>
      <c r="P40" s="493">
        <v>20</v>
      </c>
      <c r="Q40" s="493"/>
      <c r="R40" s="493"/>
      <c r="S40" s="493"/>
      <c r="T40" s="493"/>
      <c r="U40" s="493"/>
      <c r="V40" s="493"/>
      <c r="W40" s="493"/>
      <c r="X40" s="493"/>
      <c r="Y40" s="493"/>
      <c r="Z40" s="494"/>
      <c r="AA40" s="494"/>
      <c r="AB40" s="494"/>
      <c r="AC40" s="494"/>
      <c r="AD40" s="493">
        <v>20</v>
      </c>
      <c r="AE40" s="493"/>
      <c r="AF40" s="492"/>
      <c r="AG40" s="495">
        <v>245</v>
      </c>
      <c r="AH40" s="494"/>
      <c r="AI40" s="495">
        <v>245</v>
      </c>
    </row>
    <row r="41" spans="1:35" s="486" customFormat="1" ht="15" customHeight="1" x14ac:dyDescent="0.2">
      <c r="A41" s="483">
        <v>27</v>
      </c>
      <c r="B41" s="490">
        <v>26</v>
      </c>
      <c r="C41" s="491">
        <f>[9]стоимость!J30</f>
        <v>80274</v>
      </c>
      <c r="D41" s="493">
        <v>15</v>
      </c>
      <c r="E41" s="493">
        <v>4</v>
      </c>
      <c r="F41" s="493"/>
      <c r="G41" s="493"/>
      <c r="H41" s="493"/>
      <c r="I41" s="493"/>
      <c r="J41" s="493"/>
      <c r="K41" s="493">
        <v>27</v>
      </c>
      <c r="L41" s="501"/>
      <c r="M41" s="493"/>
      <c r="N41" s="493">
        <v>40</v>
      </c>
      <c r="O41" s="493"/>
      <c r="P41" s="493">
        <v>53</v>
      </c>
      <c r="Q41" s="493"/>
      <c r="R41" s="493"/>
      <c r="S41" s="493"/>
      <c r="T41" s="493"/>
      <c r="U41" s="493"/>
      <c r="V41" s="493"/>
      <c r="W41" s="493"/>
      <c r="X41" s="493"/>
      <c r="Y41" s="493"/>
      <c r="Z41" s="494"/>
      <c r="AA41" s="494"/>
      <c r="AB41" s="494"/>
      <c r="AC41" s="494"/>
      <c r="AD41" s="493">
        <v>1</v>
      </c>
      <c r="AE41" s="493"/>
      <c r="AF41" s="492">
        <v>5</v>
      </c>
      <c r="AG41" s="495">
        <v>145</v>
      </c>
      <c r="AH41" s="494"/>
      <c r="AI41" s="495">
        <v>145</v>
      </c>
    </row>
    <row r="42" spans="1:35" s="486" customFormat="1" ht="15" customHeight="1" x14ac:dyDescent="0.2">
      <c r="A42" s="483">
        <v>28</v>
      </c>
      <c r="B42" s="505">
        <v>27</v>
      </c>
      <c r="C42" s="491">
        <f>[9]стоимость!J31</f>
        <v>157576</v>
      </c>
      <c r="D42" s="493">
        <v>12</v>
      </c>
      <c r="E42" s="493"/>
      <c r="F42" s="493"/>
      <c r="G42" s="493"/>
      <c r="H42" s="493"/>
      <c r="I42" s="493"/>
      <c r="J42" s="493"/>
      <c r="K42" s="493">
        <v>10</v>
      </c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4"/>
      <c r="AA42" s="494"/>
      <c r="AB42" s="494"/>
      <c r="AC42" s="494"/>
      <c r="AD42" s="493">
        <v>1</v>
      </c>
      <c r="AE42" s="493"/>
      <c r="AF42" s="492"/>
      <c r="AG42" s="495">
        <v>23</v>
      </c>
      <c r="AH42" s="494"/>
      <c r="AI42" s="495">
        <v>23</v>
      </c>
    </row>
    <row r="43" spans="1:35" s="482" customFormat="1" ht="19.5" customHeight="1" x14ac:dyDescent="0.2">
      <c r="A43" s="480"/>
      <c r="B43" s="958" t="s">
        <v>426</v>
      </c>
      <c r="C43" s="958"/>
      <c r="D43" s="488">
        <v>0</v>
      </c>
      <c r="E43" s="488">
        <v>0</v>
      </c>
      <c r="F43" s="488">
        <v>0</v>
      </c>
      <c r="G43" s="488">
        <v>0</v>
      </c>
      <c r="H43" s="488">
        <v>0</v>
      </c>
      <c r="I43" s="488">
        <v>0</v>
      </c>
      <c r="J43" s="488">
        <v>0</v>
      </c>
      <c r="K43" s="488">
        <v>86</v>
      </c>
      <c r="L43" s="488">
        <v>0</v>
      </c>
      <c r="M43" s="488">
        <v>1184</v>
      </c>
      <c r="N43" s="488">
        <v>0</v>
      </c>
      <c r="O43" s="488">
        <v>0</v>
      </c>
      <c r="P43" s="488">
        <v>0</v>
      </c>
      <c r="Q43" s="488">
        <v>0</v>
      </c>
      <c r="R43" s="488">
        <v>0</v>
      </c>
      <c r="S43" s="488">
        <v>100</v>
      </c>
      <c r="T43" s="488">
        <v>157</v>
      </c>
      <c r="U43" s="488">
        <v>0</v>
      </c>
      <c r="V43" s="488">
        <v>0</v>
      </c>
      <c r="W43" s="488">
        <v>0</v>
      </c>
      <c r="X43" s="488">
        <v>0</v>
      </c>
      <c r="Y43" s="488">
        <v>81</v>
      </c>
      <c r="Z43" s="488">
        <v>130</v>
      </c>
      <c r="AA43" s="488">
        <v>113</v>
      </c>
      <c r="AB43" s="488">
        <v>94</v>
      </c>
      <c r="AC43" s="488">
        <v>90</v>
      </c>
      <c r="AD43" s="488">
        <v>0</v>
      </c>
      <c r="AE43" s="488">
        <v>0</v>
      </c>
      <c r="AF43" s="488">
        <v>0</v>
      </c>
      <c r="AG43" s="488">
        <v>2035</v>
      </c>
      <c r="AH43" s="488">
        <v>75</v>
      </c>
      <c r="AI43" s="488">
        <v>2110</v>
      </c>
    </row>
    <row r="44" spans="1:35" s="486" customFormat="1" ht="14.25" customHeight="1" x14ac:dyDescent="0.2">
      <c r="A44" s="483">
        <v>29</v>
      </c>
      <c r="B44" s="490">
        <v>28</v>
      </c>
      <c r="C44" s="491">
        <f>[9]стоимость!J32</f>
        <v>73376</v>
      </c>
      <c r="D44" s="493"/>
      <c r="E44" s="493"/>
      <c r="F44" s="493"/>
      <c r="G44" s="493"/>
      <c r="H44" s="493"/>
      <c r="I44" s="493"/>
      <c r="J44" s="493"/>
      <c r="K44" s="493">
        <v>86</v>
      </c>
      <c r="L44" s="493"/>
      <c r="M44" s="493">
        <v>1169</v>
      </c>
      <c r="N44" s="493"/>
      <c r="O44" s="492"/>
      <c r="P44" s="493"/>
      <c r="Q44" s="493"/>
      <c r="R44" s="493"/>
      <c r="S44" s="493">
        <v>93</v>
      </c>
      <c r="T44" s="493">
        <v>152</v>
      </c>
      <c r="U44" s="493"/>
      <c r="V44" s="492"/>
      <c r="W44" s="492"/>
      <c r="X44" s="492"/>
      <c r="Y44" s="492">
        <v>76</v>
      </c>
      <c r="Z44" s="494">
        <v>122</v>
      </c>
      <c r="AA44" s="494">
        <v>109</v>
      </c>
      <c r="AB44" s="494">
        <v>88</v>
      </c>
      <c r="AC44" s="494">
        <v>65</v>
      </c>
      <c r="AD44" s="493"/>
      <c r="AE44" s="493"/>
      <c r="AF44" s="492"/>
      <c r="AG44" s="495">
        <v>1960</v>
      </c>
      <c r="AH44" s="494">
        <v>75</v>
      </c>
      <c r="AI44" s="495">
        <v>2035</v>
      </c>
    </row>
    <row r="45" spans="1:35" s="486" customFormat="1" ht="14.25" customHeight="1" x14ac:dyDescent="0.2">
      <c r="A45" s="483">
        <v>30</v>
      </c>
      <c r="B45" s="490">
        <v>29</v>
      </c>
      <c r="C45" s="491">
        <f>[9]стоимость!J33</f>
        <v>106640</v>
      </c>
      <c r="D45" s="493"/>
      <c r="E45" s="493"/>
      <c r="F45" s="493"/>
      <c r="G45" s="493"/>
      <c r="H45" s="493"/>
      <c r="I45" s="493"/>
      <c r="J45" s="493"/>
      <c r="K45" s="493"/>
      <c r="L45" s="493"/>
      <c r="M45" s="493"/>
      <c r="N45" s="493"/>
      <c r="O45" s="492"/>
      <c r="P45" s="493"/>
      <c r="Q45" s="493"/>
      <c r="R45" s="493"/>
      <c r="S45" s="493"/>
      <c r="T45" s="493"/>
      <c r="U45" s="493"/>
      <c r="V45" s="492"/>
      <c r="W45" s="492"/>
      <c r="X45" s="492"/>
      <c r="Y45" s="492"/>
      <c r="Z45" s="494"/>
      <c r="AA45" s="494"/>
      <c r="AB45" s="494"/>
      <c r="AC45" s="494">
        <v>20</v>
      </c>
      <c r="AD45" s="493"/>
      <c r="AE45" s="493"/>
      <c r="AF45" s="492"/>
      <c r="AG45" s="495">
        <v>20</v>
      </c>
      <c r="AH45" s="494"/>
      <c r="AI45" s="495">
        <v>20</v>
      </c>
    </row>
    <row r="46" spans="1:35" s="486" customFormat="1" ht="14.25" customHeight="1" x14ac:dyDescent="0.2">
      <c r="A46" s="483">
        <v>0</v>
      </c>
      <c r="B46" s="490">
        <v>30</v>
      </c>
      <c r="C46" s="491">
        <f>[9]стоимость!J34</f>
        <v>104235</v>
      </c>
      <c r="D46" s="493"/>
      <c r="E46" s="493"/>
      <c r="F46" s="493"/>
      <c r="G46" s="493"/>
      <c r="H46" s="493"/>
      <c r="I46" s="493"/>
      <c r="J46" s="493"/>
      <c r="K46" s="493"/>
      <c r="L46" s="493"/>
      <c r="M46" s="493">
        <v>15</v>
      </c>
      <c r="N46" s="493"/>
      <c r="O46" s="492"/>
      <c r="P46" s="493"/>
      <c r="Q46" s="493"/>
      <c r="R46" s="493"/>
      <c r="S46" s="493">
        <v>7</v>
      </c>
      <c r="T46" s="493">
        <v>5</v>
      </c>
      <c r="U46" s="493"/>
      <c r="V46" s="492"/>
      <c r="W46" s="492"/>
      <c r="X46" s="492"/>
      <c r="Y46" s="492">
        <v>5</v>
      </c>
      <c r="Z46" s="494">
        <v>8</v>
      </c>
      <c r="AA46" s="494">
        <v>4</v>
      </c>
      <c r="AB46" s="494">
        <v>6</v>
      </c>
      <c r="AC46" s="494">
        <v>5</v>
      </c>
      <c r="AD46" s="493"/>
      <c r="AE46" s="493"/>
      <c r="AF46" s="492"/>
      <c r="AG46" s="495">
        <v>55</v>
      </c>
      <c r="AH46" s="494"/>
      <c r="AI46" s="495">
        <v>55</v>
      </c>
    </row>
    <row r="47" spans="1:35" s="482" customFormat="1" ht="18.75" customHeight="1" x14ac:dyDescent="0.2">
      <c r="A47" s="480"/>
      <c r="B47" s="958" t="s">
        <v>427</v>
      </c>
      <c r="C47" s="958"/>
      <c r="D47" s="488">
        <v>0</v>
      </c>
      <c r="E47" s="488">
        <v>0</v>
      </c>
      <c r="F47" s="488">
        <v>0</v>
      </c>
      <c r="G47" s="488">
        <v>60</v>
      </c>
      <c r="H47" s="488">
        <v>0</v>
      </c>
      <c r="I47" s="488">
        <v>0</v>
      </c>
      <c r="J47" s="488">
        <v>0</v>
      </c>
      <c r="K47" s="488">
        <v>47</v>
      </c>
      <c r="L47" s="488">
        <v>0</v>
      </c>
      <c r="M47" s="488">
        <v>0</v>
      </c>
      <c r="N47" s="488">
        <v>0</v>
      </c>
      <c r="O47" s="488">
        <v>0</v>
      </c>
      <c r="P47" s="488">
        <v>0</v>
      </c>
      <c r="Q47" s="488">
        <v>0</v>
      </c>
      <c r="R47" s="488">
        <v>0</v>
      </c>
      <c r="S47" s="488">
        <v>0</v>
      </c>
      <c r="T47" s="488">
        <v>0</v>
      </c>
      <c r="U47" s="488">
        <v>0</v>
      </c>
      <c r="V47" s="488">
        <v>0</v>
      </c>
      <c r="W47" s="488">
        <v>0</v>
      </c>
      <c r="X47" s="488">
        <v>0</v>
      </c>
      <c r="Y47" s="488">
        <v>0</v>
      </c>
      <c r="Z47" s="488">
        <v>0</v>
      </c>
      <c r="AA47" s="488">
        <v>0</v>
      </c>
      <c r="AB47" s="488">
        <v>0</v>
      </c>
      <c r="AC47" s="488">
        <v>0</v>
      </c>
      <c r="AD47" s="488">
        <v>0</v>
      </c>
      <c r="AE47" s="488">
        <v>0</v>
      </c>
      <c r="AF47" s="488">
        <v>0</v>
      </c>
      <c r="AG47" s="488">
        <v>107</v>
      </c>
      <c r="AH47" s="488">
        <v>0</v>
      </c>
      <c r="AI47" s="488">
        <v>107</v>
      </c>
    </row>
    <row r="48" spans="1:35" s="486" customFormat="1" ht="15" customHeight="1" x14ac:dyDescent="0.2">
      <c r="A48" s="483">
        <v>31</v>
      </c>
      <c r="B48" s="490">
        <v>31</v>
      </c>
      <c r="C48" s="491">
        <f>[9]стоимость!J35</f>
        <v>101014</v>
      </c>
      <c r="D48" s="493"/>
      <c r="E48" s="493"/>
      <c r="F48" s="493"/>
      <c r="G48" s="493"/>
      <c r="H48" s="493"/>
      <c r="I48" s="493"/>
      <c r="J48" s="493"/>
      <c r="K48" s="493">
        <v>1</v>
      </c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4"/>
      <c r="AA48" s="494"/>
      <c r="AB48" s="494"/>
      <c r="AC48" s="494"/>
      <c r="AD48" s="493"/>
      <c r="AE48" s="493"/>
      <c r="AF48" s="492"/>
      <c r="AG48" s="495">
        <v>1</v>
      </c>
      <c r="AH48" s="494"/>
      <c r="AI48" s="506">
        <v>1</v>
      </c>
    </row>
    <row r="49" spans="1:35" s="486" customFormat="1" ht="13.5" customHeight="1" x14ac:dyDescent="0.2">
      <c r="A49" s="483">
        <v>32</v>
      </c>
      <c r="B49" s="490">
        <v>32</v>
      </c>
      <c r="C49" s="491">
        <f>[9]стоимость!J36</f>
        <v>205749</v>
      </c>
      <c r="D49" s="493"/>
      <c r="E49" s="493"/>
      <c r="F49" s="493"/>
      <c r="G49" s="493"/>
      <c r="H49" s="493"/>
      <c r="I49" s="493"/>
      <c r="J49" s="493"/>
      <c r="K49" s="493">
        <v>46</v>
      </c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4"/>
      <c r="AA49" s="494"/>
      <c r="AB49" s="494"/>
      <c r="AC49" s="494"/>
      <c r="AD49" s="493"/>
      <c r="AE49" s="493"/>
      <c r="AF49" s="492"/>
      <c r="AG49" s="495">
        <v>46</v>
      </c>
      <c r="AH49" s="494"/>
      <c r="AI49" s="506">
        <v>46</v>
      </c>
    </row>
    <row r="50" spans="1:35" s="486" customFormat="1" ht="15" customHeight="1" x14ac:dyDescent="0.2">
      <c r="A50" s="483">
        <v>33</v>
      </c>
      <c r="B50" s="490">
        <v>33</v>
      </c>
      <c r="C50" s="491">
        <f>[9]стоимость!J37</f>
        <v>119376</v>
      </c>
      <c r="D50" s="493"/>
      <c r="E50" s="493"/>
      <c r="F50" s="493"/>
      <c r="G50" s="493">
        <v>60</v>
      </c>
      <c r="H50" s="493"/>
      <c r="I50" s="497"/>
      <c r="J50" s="493"/>
      <c r="K50" s="493"/>
      <c r="L50" s="493"/>
      <c r="M50" s="497"/>
      <c r="N50" s="493"/>
      <c r="O50" s="493"/>
      <c r="P50" s="497"/>
      <c r="Q50" s="497"/>
      <c r="R50" s="493"/>
      <c r="S50" s="493"/>
      <c r="T50" s="493"/>
      <c r="U50" s="493"/>
      <c r="V50" s="493"/>
      <c r="W50" s="493"/>
      <c r="X50" s="493"/>
      <c r="Y50" s="493"/>
      <c r="Z50" s="494"/>
      <c r="AA50" s="494"/>
      <c r="AB50" s="494"/>
      <c r="AC50" s="494"/>
      <c r="AD50" s="493"/>
      <c r="AE50" s="493"/>
      <c r="AF50" s="492"/>
      <c r="AG50" s="495">
        <v>60</v>
      </c>
      <c r="AH50" s="494"/>
      <c r="AI50" s="506">
        <v>60</v>
      </c>
    </row>
    <row r="51" spans="1:35" s="486" customFormat="1" ht="15" customHeight="1" x14ac:dyDescent="0.2">
      <c r="A51" s="483">
        <v>34</v>
      </c>
      <c r="B51" s="505">
        <v>34</v>
      </c>
      <c r="C51" s="491">
        <f>[9]стоимость!J38</f>
        <v>203875</v>
      </c>
      <c r="D51" s="493"/>
      <c r="E51" s="493"/>
      <c r="F51" s="493"/>
      <c r="G51" s="493"/>
      <c r="H51" s="493"/>
      <c r="I51" s="497"/>
      <c r="J51" s="493"/>
      <c r="K51" s="493"/>
      <c r="L51" s="493"/>
      <c r="M51" s="497"/>
      <c r="N51" s="493"/>
      <c r="O51" s="493"/>
      <c r="P51" s="497"/>
      <c r="Q51" s="497"/>
      <c r="R51" s="493"/>
      <c r="S51" s="493"/>
      <c r="T51" s="493"/>
      <c r="U51" s="493"/>
      <c r="V51" s="493"/>
      <c r="W51" s="493"/>
      <c r="X51" s="493"/>
      <c r="Y51" s="493"/>
      <c r="Z51" s="494"/>
      <c r="AA51" s="494"/>
      <c r="AB51" s="494"/>
      <c r="AC51" s="494"/>
      <c r="AD51" s="493"/>
      <c r="AE51" s="493"/>
      <c r="AF51" s="492"/>
      <c r="AG51" s="495">
        <v>0</v>
      </c>
      <c r="AH51" s="494"/>
      <c r="AI51" s="506">
        <v>0</v>
      </c>
    </row>
    <row r="52" spans="1:35" s="486" customFormat="1" ht="15" customHeight="1" x14ac:dyDescent="0.2">
      <c r="A52" s="483">
        <v>0</v>
      </c>
      <c r="B52" s="490">
        <v>35</v>
      </c>
      <c r="C52" s="491">
        <f>[9]стоимость!J39</f>
        <v>202345</v>
      </c>
      <c r="D52" s="493"/>
      <c r="E52" s="493"/>
      <c r="F52" s="493"/>
      <c r="G52" s="493"/>
      <c r="H52" s="493"/>
      <c r="I52" s="497"/>
      <c r="J52" s="493"/>
      <c r="K52" s="493"/>
      <c r="L52" s="493"/>
      <c r="M52" s="497"/>
      <c r="N52" s="493"/>
      <c r="O52" s="493"/>
      <c r="P52" s="497"/>
      <c r="Q52" s="497"/>
      <c r="R52" s="493"/>
      <c r="S52" s="493"/>
      <c r="T52" s="493"/>
      <c r="U52" s="493"/>
      <c r="V52" s="493"/>
      <c r="W52" s="493"/>
      <c r="X52" s="493"/>
      <c r="Y52" s="493"/>
      <c r="Z52" s="494"/>
      <c r="AA52" s="494"/>
      <c r="AB52" s="494"/>
      <c r="AC52" s="494"/>
      <c r="AD52" s="493"/>
      <c r="AE52" s="493"/>
      <c r="AF52" s="492"/>
      <c r="AG52" s="495">
        <v>0</v>
      </c>
      <c r="AH52" s="494"/>
      <c r="AI52" s="506">
        <v>0</v>
      </c>
    </row>
    <row r="53" spans="1:35" s="482" customFormat="1" ht="17.25" customHeight="1" x14ac:dyDescent="0.2">
      <c r="A53" s="480"/>
      <c r="B53" s="958" t="s">
        <v>428</v>
      </c>
      <c r="C53" s="958"/>
      <c r="D53" s="488">
        <v>183</v>
      </c>
      <c r="E53" s="488">
        <v>0</v>
      </c>
      <c r="F53" s="488">
        <v>0</v>
      </c>
      <c r="G53" s="488">
        <v>0</v>
      </c>
      <c r="H53" s="488">
        <v>0</v>
      </c>
      <c r="I53" s="488">
        <v>0</v>
      </c>
      <c r="J53" s="488">
        <v>0</v>
      </c>
      <c r="K53" s="488">
        <v>0</v>
      </c>
      <c r="L53" s="488">
        <v>0</v>
      </c>
      <c r="M53" s="488">
        <v>0</v>
      </c>
      <c r="N53" s="488">
        <v>134</v>
      </c>
      <c r="O53" s="488">
        <v>0</v>
      </c>
      <c r="P53" s="488">
        <v>0</v>
      </c>
      <c r="Q53" s="488">
        <v>0</v>
      </c>
      <c r="R53" s="488">
        <v>0</v>
      </c>
      <c r="S53" s="488">
        <v>0</v>
      </c>
      <c r="T53" s="488">
        <v>45</v>
      </c>
      <c r="U53" s="488">
        <v>0</v>
      </c>
      <c r="V53" s="488">
        <v>0</v>
      </c>
      <c r="W53" s="488">
        <v>0</v>
      </c>
      <c r="X53" s="488">
        <v>0</v>
      </c>
      <c r="Y53" s="488">
        <v>0</v>
      </c>
      <c r="Z53" s="488">
        <v>0</v>
      </c>
      <c r="AA53" s="488">
        <v>0</v>
      </c>
      <c r="AB53" s="488">
        <v>0</v>
      </c>
      <c r="AC53" s="488">
        <v>0</v>
      </c>
      <c r="AD53" s="488">
        <v>0</v>
      </c>
      <c r="AE53" s="488">
        <v>0</v>
      </c>
      <c r="AF53" s="488">
        <v>0</v>
      </c>
      <c r="AG53" s="488">
        <v>362</v>
      </c>
      <c r="AH53" s="488">
        <v>0</v>
      </c>
      <c r="AI53" s="488">
        <v>362</v>
      </c>
    </row>
    <row r="54" spans="1:35" s="486" customFormat="1" ht="14.25" customHeight="1" x14ac:dyDescent="0.2">
      <c r="A54" s="483">
        <v>35</v>
      </c>
      <c r="B54" s="490">
        <v>36</v>
      </c>
      <c r="C54" s="491">
        <f>[9]стоимость!J40</f>
        <v>160288</v>
      </c>
      <c r="D54" s="493">
        <v>183</v>
      </c>
      <c r="E54" s="493"/>
      <c r="F54" s="493"/>
      <c r="G54" s="493"/>
      <c r="H54" s="493"/>
      <c r="I54" s="493"/>
      <c r="J54" s="493"/>
      <c r="K54" s="493"/>
      <c r="L54" s="493"/>
      <c r="M54" s="493"/>
      <c r="N54" s="493">
        <v>134</v>
      </c>
      <c r="O54" s="493"/>
      <c r="P54" s="493"/>
      <c r="Q54" s="493"/>
      <c r="R54" s="493"/>
      <c r="S54" s="493"/>
      <c r="T54" s="493">
        <v>45</v>
      </c>
      <c r="U54" s="493"/>
      <c r="V54" s="493"/>
      <c r="W54" s="493"/>
      <c r="X54" s="493"/>
      <c r="Y54" s="493"/>
      <c r="Z54" s="494"/>
      <c r="AA54" s="494"/>
      <c r="AB54" s="494"/>
      <c r="AC54" s="494"/>
      <c r="AD54" s="493"/>
      <c r="AE54" s="493"/>
      <c r="AF54" s="492"/>
      <c r="AG54" s="495">
        <v>362</v>
      </c>
      <c r="AH54" s="494"/>
      <c r="AI54" s="506">
        <v>362</v>
      </c>
    </row>
    <row r="55" spans="1:35" s="482" customFormat="1" ht="26.25" customHeight="1" x14ac:dyDescent="0.2">
      <c r="A55" s="480"/>
      <c r="B55" s="950" t="s">
        <v>429</v>
      </c>
      <c r="C55" s="951"/>
      <c r="D55" s="488">
        <v>718</v>
      </c>
      <c r="E55" s="488">
        <v>779</v>
      </c>
      <c r="F55" s="488">
        <v>0</v>
      </c>
      <c r="G55" s="488">
        <v>3620</v>
      </c>
      <c r="H55" s="488">
        <v>0</v>
      </c>
      <c r="I55" s="488">
        <v>0</v>
      </c>
      <c r="J55" s="488">
        <v>0</v>
      </c>
      <c r="K55" s="488">
        <v>0</v>
      </c>
      <c r="L55" s="488">
        <v>0</v>
      </c>
      <c r="M55" s="488">
        <v>0</v>
      </c>
      <c r="N55" s="488">
        <v>0</v>
      </c>
      <c r="O55" s="488">
        <v>312</v>
      </c>
      <c r="P55" s="488">
        <v>515</v>
      </c>
      <c r="Q55" s="488">
        <v>0</v>
      </c>
      <c r="R55" s="488">
        <v>224</v>
      </c>
      <c r="S55" s="488">
        <v>332</v>
      </c>
      <c r="T55" s="488">
        <v>469</v>
      </c>
      <c r="U55" s="488">
        <v>61</v>
      </c>
      <c r="V55" s="488">
        <v>269</v>
      </c>
      <c r="W55" s="488">
        <v>185</v>
      </c>
      <c r="X55" s="488">
        <v>0</v>
      </c>
      <c r="Y55" s="488">
        <v>57</v>
      </c>
      <c r="Z55" s="488">
        <v>0</v>
      </c>
      <c r="AA55" s="488">
        <v>0</v>
      </c>
      <c r="AB55" s="488">
        <v>0</v>
      </c>
      <c r="AC55" s="488">
        <v>0</v>
      </c>
      <c r="AD55" s="488">
        <v>0</v>
      </c>
      <c r="AE55" s="488">
        <v>450</v>
      </c>
      <c r="AF55" s="488">
        <v>50</v>
      </c>
      <c r="AG55" s="488">
        <v>8041</v>
      </c>
      <c r="AH55" s="488">
        <v>0</v>
      </c>
      <c r="AI55" s="488">
        <v>8041</v>
      </c>
    </row>
    <row r="56" spans="1:35" s="486" customFormat="1" ht="14.25" customHeight="1" x14ac:dyDescent="0.2">
      <c r="A56" s="483">
        <v>36</v>
      </c>
      <c r="B56" s="490">
        <v>37</v>
      </c>
      <c r="C56" s="491">
        <f>[9]стоимость!J41</f>
        <v>196105</v>
      </c>
      <c r="D56" s="508">
        <v>155</v>
      </c>
      <c r="E56" s="508">
        <v>276</v>
      </c>
      <c r="F56" s="508"/>
      <c r="G56" s="508">
        <v>280</v>
      </c>
      <c r="H56" s="508"/>
      <c r="I56" s="509"/>
      <c r="J56" s="508"/>
      <c r="K56" s="508"/>
      <c r="L56" s="508"/>
      <c r="M56" s="493"/>
      <c r="N56" s="508"/>
      <c r="O56" s="499">
        <v>10</v>
      </c>
      <c r="P56" s="508">
        <v>220</v>
      </c>
      <c r="Q56" s="509"/>
      <c r="R56" s="508">
        <v>25</v>
      </c>
      <c r="S56" s="508">
        <v>103</v>
      </c>
      <c r="T56" s="508">
        <v>285</v>
      </c>
      <c r="U56" s="492">
        <v>18</v>
      </c>
      <c r="V56" s="504">
        <v>83</v>
      </c>
      <c r="W56" s="493">
        <v>87</v>
      </c>
      <c r="X56" s="493"/>
      <c r="Y56" s="493">
        <v>25</v>
      </c>
      <c r="Z56" s="498"/>
      <c r="AA56" s="498"/>
      <c r="AB56" s="498"/>
      <c r="AC56" s="498"/>
      <c r="AD56" s="493"/>
      <c r="AE56" s="493">
        <v>142</v>
      </c>
      <c r="AF56" s="492">
        <v>2</v>
      </c>
      <c r="AG56" s="495">
        <v>1711</v>
      </c>
      <c r="AH56" s="498"/>
      <c r="AI56" s="495">
        <v>1711</v>
      </c>
    </row>
    <row r="57" spans="1:35" s="486" customFormat="1" ht="14.25" customHeight="1" x14ac:dyDescent="0.2">
      <c r="A57" s="483">
        <v>37</v>
      </c>
      <c r="B57" s="490">
        <v>38</v>
      </c>
      <c r="C57" s="491">
        <f>[9]стоимость!J42</f>
        <v>226031</v>
      </c>
      <c r="D57" s="493">
        <v>70</v>
      </c>
      <c r="E57" s="493">
        <v>61</v>
      </c>
      <c r="F57" s="508"/>
      <c r="G57" s="493">
        <v>140</v>
      </c>
      <c r="H57" s="493"/>
      <c r="I57" s="493"/>
      <c r="J57" s="493"/>
      <c r="K57" s="493"/>
      <c r="L57" s="493"/>
      <c r="M57" s="493"/>
      <c r="N57" s="493"/>
      <c r="O57" s="492">
        <v>52</v>
      </c>
      <c r="P57" s="493">
        <v>67</v>
      </c>
      <c r="Q57" s="493"/>
      <c r="R57" s="493">
        <v>20</v>
      </c>
      <c r="S57" s="493">
        <v>40</v>
      </c>
      <c r="T57" s="493">
        <v>22</v>
      </c>
      <c r="U57" s="492">
        <v>11</v>
      </c>
      <c r="V57" s="504">
        <v>26</v>
      </c>
      <c r="W57" s="493">
        <v>14</v>
      </c>
      <c r="X57" s="493"/>
      <c r="Y57" s="493">
        <v>10</v>
      </c>
      <c r="Z57" s="498"/>
      <c r="AA57" s="498"/>
      <c r="AB57" s="498"/>
      <c r="AC57" s="498"/>
      <c r="AD57" s="493"/>
      <c r="AE57" s="493">
        <v>78</v>
      </c>
      <c r="AF57" s="492"/>
      <c r="AG57" s="495">
        <v>611</v>
      </c>
      <c r="AH57" s="498"/>
      <c r="AI57" s="495">
        <v>611</v>
      </c>
    </row>
    <row r="58" spans="1:35" s="486" customFormat="1" ht="14.25" customHeight="1" x14ac:dyDescent="0.2">
      <c r="A58" s="483">
        <v>38</v>
      </c>
      <c r="B58" s="490">
        <v>39</v>
      </c>
      <c r="C58" s="491">
        <f>[9]стоимость!J43</f>
        <v>255415</v>
      </c>
      <c r="D58" s="493">
        <v>40</v>
      </c>
      <c r="E58" s="493">
        <v>10</v>
      </c>
      <c r="F58" s="508"/>
      <c r="G58" s="493">
        <v>90</v>
      </c>
      <c r="H58" s="493"/>
      <c r="I58" s="497"/>
      <c r="J58" s="493"/>
      <c r="K58" s="493"/>
      <c r="L58" s="493"/>
      <c r="M58" s="493"/>
      <c r="N58" s="493"/>
      <c r="O58" s="492">
        <v>35</v>
      </c>
      <c r="P58" s="493">
        <v>12</v>
      </c>
      <c r="Q58" s="497"/>
      <c r="R58" s="493">
        <v>15</v>
      </c>
      <c r="S58" s="493">
        <v>11</v>
      </c>
      <c r="T58" s="493">
        <v>2</v>
      </c>
      <c r="U58" s="492">
        <v>3</v>
      </c>
      <c r="V58" s="504">
        <v>10</v>
      </c>
      <c r="W58" s="492">
        <v>3</v>
      </c>
      <c r="X58" s="492"/>
      <c r="Y58" s="493">
        <v>12</v>
      </c>
      <c r="Z58" s="510"/>
      <c r="AA58" s="510"/>
      <c r="AB58" s="510"/>
      <c r="AC58" s="510"/>
      <c r="AD58" s="493"/>
      <c r="AE58" s="493">
        <v>20</v>
      </c>
      <c r="AF58" s="492"/>
      <c r="AG58" s="495">
        <v>263</v>
      </c>
      <c r="AH58" s="510"/>
      <c r="AI58" s="495">
        <v>263</v>
      </c>
    </row>
    <row r="59" spans="1:35" s="486" customFormat="1" ht="14.25" customHeight="1" x14ac:dyDescent="0.2">
      <c r="A59" s="483">
        <v>39</v>
      </c>
      <c r="B59" s="490">
        <v>40</v>
      </c>
      <c r="C59" s="491">
        <f>[9]стоимость!J44</f>
        <v>145573</v>
      </c>
      <c r="D59" s="493">
        <v>210</v>
      </c>
      <c r="E59" s="493">
        <v>188</v>
      </c>
      <c r="F59" s="508"/>
      <c r="G59" s="493">
        <v>420</v>
      </c>
      <c r="H59" s="493"/>
      <c r="I59" s="497"/>
      <c r="J59" s="493"/>
      <c r="K59" s="493"/>
      <c r="L59" s="493"/>
      <c r="M59" s="493"/>
      <c r="N59" s="493"/>
      <c r="O59" s="492"/>
      <c r="P59" s="493">
        <v>163</v>
      </c>
      <c r="Q59" s="497"/>
      <c r="R59" s="493">
        <v>85</v>
      </c>
      <c r="S59" s="493">
        <v>140</v>
      </c>
      <c r="T59" s="493">
        <v>135</v>
      </c>
      <c r="U59" s="492">
        <v>11</v>
      </c>
      <c r="V59" s="504">
        <v>75</v>
      </c>
      <c r="W59" s="492">
        <v>45</v>
      </c>
      <c r="X59" s="492"/>
      <c r="Y59" s="493">
        <v>1</v>
      </c>
      <c r="Z59" s="510"/>
      <c r="AA59" s="510"/>
      <c r="AB59" s="510"/>
      <c r="AC59" s="510"/>
      <c r="AD59" s="493"/>
      <c r="AE59" s="493">
        <v>46</v>
      </c>
      <c r="AF59" s="492">
        <v>10</v>
      </c>
      <c r="AG59" s="495">
        <v>1529</v>
      </c>
      <c r="AH59" s="510"/>
      <c r="AI59" s="495">
        <v>1529</v>
      </c>
    </row>
    <row r="60" spans="1:35" s="486" customFormat="1" ht="14.25" customHeight="1" x14ac:dyDescent="0.2">
      <c r="A60" s="483">
        <v>40</v>
      </c>
      <c r="B60" s="490">
        <v>41</v>
      </c>
      <c r="C60" s="491">
        <f>[9]стоимость!J45</f>
        <v>175437</v>
      </c>
      <c r="D60" s="493">
        <v>128</v>
      </c>
      <c r="E60" s="493">
        <v>38</v>
      </c>
      <c r="F60" s="508"/>
      <c r="G60" s="493">
        <v>190</v>
      </c>
      <c r="H60" s="493"/>
      <c r="I60" s="493"/>
      <c r="J60" s="493"/>
      <c r="K60" s="493"/>
      <c r="L60" s="493"/>
      <c r="M60" s="493"/>
      <c r="N60" s="493"/>
      <c r="O60" s="492">
        <v>75</v>
      </c>
      <c r="P60" s="493">
        <v>31</v>
      </c>
      <c r="Q60" s="493"/>
      <c r="R60" s="493">
        <v>49</v>
      </c>
      <c r="S60" s="493">
        <v>31</v>
      </c>
      <c r="T60" s="493">
        <v>11</v>
      </c>
      <c r="U60" s="492">
        <v>11</v>
      </c>
      <c r="V60" s="492">
        <v>23</v>
      </c>
      <c r="W60" s="492">
        <v>14</v>
      </c>
      <c r="X60" s="492"/>
      <c r="Y60" s="493">
        <v>6</v>
      </c>
      <c r="Z60" s="510"/>
      <c r="AA60" s="510"/>
      <c r="AB60" s="510"/>
      <c r="AC60" s="510"/>
      <c r="AD60" s="493"/>
      <c r="AE60" s="493">
        <v>34</v>
      </c>
      <c r="AF60" s="492">
        <v>7</v>
      </c>
      <c r="AG60" s="495">
        <v>648</v>
      </c>
      <c r="AH60" s="510"/>
      <c r="AI60" s="495">
        <v>648</v>
      </c>
    </row>
    <row r="61" spans="1:35" s="486" customFormat="1" ht="14.25" customHeight="1" x14ac:dyDescent="0.2">
      <c r="A61" s="483">
        <v>41</v>
      </c>
      <c r="B61" s="490">
        <v>42</v>
      </c>
      <c r="C61" s="507">
        <f>[9]стоимость!J46</f>
        <v>217055</v>
      </c>
      <c r="D61" s="493">
        <v>50</v>
      </c>
      <c r="E61" s="493">
        <v>2</v>
      </c>
      <c r="F61" s="508"/>
      <c r="G61" s="493">
        <v>90</v>
      </c>
      <c r="H61" s="493"/>
      <c r="I61" s="493"/>
      <c r="J61" s="493"/>
      <c r="K61" s="493"/>
      <c r="L61" s="493"/>
      <c r="M61" s="493"/>
      <c r="N61" s="493"/>
      <c r="O61" s="492">
        <v>60</v>
      </c>
      <c r="P61" s="493">
        <v>7</v>
      </c>
      <c r="Q61" s="493"/>
      <c r="R61" s="493">
        <v>20</v>
      </c>
      <c r="S61" s="493">
        <v>5</v>
      </c>
      <c r="T61" s="493">
        <v>4</v>
      </c>
      <c r="U61" s="492">
        <v>3</v>
      </c>
      <c r="V61" s="492">
        <v>8</v>
      </c>
      <c r="W61" s="492"/>
      <c r="X61" s="492"/>
      <c r="Y61" s="493">
        <v>3</v>
      </c>
      <c r="Z61" s="510"/>
      <c r="AA61" s="510"/>
      <c r="AB61" s="510"/>
      <c r="AC61" s="510"/>
      <c r="AD61" s="493"/>
      <c r="AE61" s="493">
        <v>26</v>
      </c>
      <c r="AF61" s="492">
        <v>3</v>
      </c>
      <c r="AG61" s="495">
        <v>281</v>
      </c>
      <c r="AH61" s="510"/>
      <c r="AI61" s="495">
        <v>281</v>
      </c>
    </row>
    <row r="62" spans="1:35" s="486" customFormat="1" ht="14.25" customHeight="1" x14ac:dyDescent="0.2">
      <c r="A62" s="483">
        <v>42</v>
      </c>
      <c r="B62" s="490">
        <v>43</v>
      </c>
      <c r="C62" s="507">
        <f>[9]стоимость!J47</f>
        <v>132472</v>
      </c>
      <c r="D62" s="493">
        <v>10</v>
      </c>
      <c r="E62" s="493">
        <v>105</v>
      </c>
      <c r="F62" s="508"/>
      <c r="G62" s="493">
        <v>296</v>
      </c>
      <c r="H62" s="493"/>
      <c r="I62" s="497"/>
      <c r="J62" s="493"/>
      <c r="K62" s="493"/>
      <c r="L62" s="493"/>
      <c r="M62" s="497"/>
      <c r="N62" s="493"/>
      <c r="O62" s="492"/>
      <c r="P62" s="497"/>
      <c r="Q62" s="497"/>
      <c r="R62" s="493"/>
      <c r="S62" s="493"/>
      <c r="T62" s="493"/>
      <c r="U62" s="492"/>
      <c r="V62" s="492">
        <v>26</v>
      </c>
      <c r="W62" s="492"/>
      <c r="X62" s="492"/>
      <c r="Y62" s="492"/>
      <c r="Z62" s="494"/>
      <c r="AA62" s="494"/>
      <c r="AB62" s="494"/>
      <c r="AC62" s="494"/>
      <c r="AD62" s="493"/>
      <c r="AE62" s="493">
        <v>23</v>
      </c>
      <c r="AF62" s="492">
        <v>28</v>
      </c>
      <c r="AG62" s="495">
        <v>488</v>
      </c>
      <c r="AH62" s="494"/>
      <c r="AI62" s="495">
        <v>488</v>
      </c>
    </row>
    <row r="63" spans="1:35" s="486" customFormat="1" ht="14.25" customHeight="1" x14ac:dyDescent="0.2">
      <c r="A63" s="483">
        <v>42</v>
      </c>
      <c r="B63" s="490">
        <v>44</v>
      </c>
      <c r="C63" s="507">
        <f>[9]стоимость!J48</f>
        <v>157012</v>
      </c>
      <c r="D63" s="493">
        <v>24</v>
      </c>
      <c r="E63" s="493">
        <v>15</v>
      </c>
      <c r="F63" s="508"/>
      <c r="G63" s="493">
        <v>250</v>
      </c>
      <c r="H63" s="493"/>
      <c r="I63" s="497"/>
      <c r="J63" s="493"/>
      <c r="K63" s="493"/>
      <c r="L63" s="493"/>
      <c r="M63" s="497"/>
      <c r="N63" s="493"/>
      <c r="O63" s="492"/>
      <c r="P63" s="497"/>
      <c r="Q63" s="497"/>
      <c r="R63" s="493"/>
      <c r="S63" s="493"/>
      <c r="T63" s="493"/>
      <c r="U63" s="492"/>
      <c r="V63" s="492">
        <v>10</v>
      </c>
      <c r="W63" s="492"/>
      <c r="X63" s="492"/>
      <c r="Y63" s="492"/>
      <c r="Z63" s="494"/>
      <c r="AA63" s="494"/>
      <c r="AB63" s="494"/>
      <c r="AC63" s="494"/>
      <c r="AD63" s="493"/>
      <c r="AE63" s="493">
        <v>20</v>
      </c>
      <c r="AF63" s="492"/>
      <c r="AG63" s="495">
        <v>319</v>
      </c>
      <c r="AH63" s="494"/>
      <c r="AI63" s="495">
        <v>319</v>
      </c>
    </row>
    <row r="64" spans="1:35" s="486" customFormat="1" ht="14.25" customHeight="1" x14ac:dyDescent="0.2">
      <c r="A64" s="483">
        <v>42</v>
      </c>
      <c r="B64" s="490">
        <v>45</v>
      </c>
      <c r="C64" s="507">
        <f>[9]стоимость!J49</f>
        <v>194747</v>
      </c>
      <c r="D64" s="493">
        <v>20</v>
      </c>
      <c r="E64" s="493">
        <v>8</v>
      </c>
      <c r="F64" s="508"/>
      <c r="G64" s="493">
        <v>454</v>
      </c>
      <c r="H64" s="493"/>
      <c r="I64" s="497"/>
      <c r="J64" s="493"/>
      <c r="K64" s="493"/>
      <c r="L64" s="493"/>
      <c r="M64" s="497"/>
      <c r="N64" s="493"/>
      <c r="O64" s="492"/>
      <c r="P64" s="497"/>
      <c r="Q64" s="497"/>
      <c r="R64" s="493">
        <v>0</v>
      </c>
      <c r="S64" s="493">
        <v>2</v>
      </c>
      <c r="T64" s="493"/>
      <c r="U64" s="492">
        <v>0</v>
      </c>
      <c r="V64" s="492">
        <v>3</v>
      </c>
      <c r="W64" s="492">
        <v>17</v>
      </c>
      <c r="X64" s="492"/>
      <c r="Y64" s="492"/>
      <c r="Z64" s="494"/>
      <c r="AA64" s="494"/>
      <c r="AB64" s="494"/>
      <c r="AC64" s="494"/>
      <c r="AD64" s="493"/>
      <c r="AE64" s="493">
        <v>20</v>
      </c>
      <c r="AF64" s="492"/>
      <c r="AG64" s="495">
        <v>524</v>
      </c>
      <c r="AH64" s="494"/>
      <c r="AI64" s="495">
        <v>524</v>
      </c>
    </row>
    <row r="65" spans="1:35" s="486" customFormat="1" ht="14.25" customHeight="1" x14ac:dyDescent="0.2">
      <c r="A65" s="483">
        <v>43</v>
      </c>
      <c r="B65" s="490">
        <v>46</v>
      </c>
      <c r="C65" s="507">
        <f>[9]стоимость!J50</f>
        <v>276287</v>
      </c>
      <c r="D65" s="493"/>
      <c r="E65" s="493"/>
      <c r="F65" s="508"/>
      <c r="G65" s="493">
        <v>31</v>
      </c>
      <c r="H65" s="493"/>
      <c r="I65" s="497"/>
      <c r="J65" s="493"/>
      <c r="K65" s="493"/>
      <c r="L65" s="493"/>
      <c r="M65" s="497"/>
      <c r="N65" s="493"/>
      <c r="O65" s="492"/>
      <c r="P65" s="497"/>
      <c r="Q65" s="497"/>
      <c r="R65" s="493"/>
      <c r="S65" s="493"/>
      <c r="T65" s="493"/>
      <c r="U65" s="492"/>
      <c r="V65" s="492"/>
      <c r="W65" s="492"/>
      <c r="X65" s="492"/>
      <c r="Y65" s="492"/>
      <c r="Z65" s="494"/>
      <c r="AA65" s="494"/>
      <c r="AB65" s="494"/>
      <c r="AC65" s="494"/>
      <c r="AD65" s="493"/>
      <c r="AE65" s="493"/>
      <c r="AF65" s="492"/>
      <c r="AG65" s="495">
        <v>31</v>
      </c>
      <c r="AH65" s="494"/>
      <c r="AI65" s="495">
        <v>31</v>
      </c>
    </row>
    <row r="66" spans="1:35" s="486" customFormat="1" ht="14.25" customHeight="1" x14ac:dyDescent="0.2">
      <c r="A66" s="483">
        <v>43</v>
      </c>
      <c r="B66" s="490">
        <v>47</v>
      </c>
      <c r="C66" s="507">
        <f>[9]стоимость!J51</f>
        <v>301504</v>
      </c>
      <c r="D66" s="493"/>
      <c r="E66" s="493"/>
      <c r="F66" s="508"/>
      <c r="G66" s="493">
        <v>5</v>
      </c>
      <c r="H66" s="493"/>
      <c r="I66" s="497"/>
      <c r="J66" s="493"/>
      <c r="K66" s="493"/>
      <c r="L66" s="493"/>
      <c r="M66" s="497"/>
      <c r="N66" s="493"/>
      <c r="O66" s="492"/>
      <c r="P66" s="497"/>
      <c r="Q66" s="497"/>
      <c r="R66" s="493"/>
      <c r="S66" s="493"/>
      <c r="T66" s="493"/>
      <c r="U66" s="492"/>
      <c r="V66" s="492"/>
      <c r="W66" s="492"/>
      <c r="X66" s="492"/>
      <c r="Y66" s="492"/>
      <c r="Z66" s="494"/>
      <c r="AA66" s="494"/>
      <c r="AB66" s="494"/>
      <c r="AC66" s="494"/>
      <c r="AD66" s="493"/>
      <c r="AE66" s="493"/>
      <c r="AF66" s="492"/>
      <c r="AG66" s="495">
        <v>5</v>
      </c>
      <c r="AH66" s="494"/>
      <c r="AI66" s="495">
        <v>5</v>
      </c>
    </row>
    <row r="67" spans="1:35" s="486" customFormat="1" ht="14.25" customHeight="1" x14ac:dyDescent="0.2">
      <c r="A67" s="483">
        <v>43</v>
      </c>
      <c r="B67" s="490">
        <v>48</v>
      </c>
      <c r="C67" s="507">
        <f>[9]стоимость!J52</f>
        <v>330952</v>
      </c>
      <c r="D67" s="493"/>
      <c r="E67" s="493"/>
      <c r="F67" s="508"/>
      <c r="G67" s="493">
        <v>39</v>
      </c>
      <c r="H67" s="493"/>
      <c r="I67" s="497"/>
      <c r="J67" s="493"/>
      <c r="K67" s="493"/>
      <c r="L67" s="493"/>
      <c r="M67" s="497"/>
      <c r="N67" s="493"/>
      <c r="O67" s="492">
        <v>20</v>
      </c>
      <c r="P67" s="497"/>
      <c r="Q67" s="497"/>
      <c r="R67" s="493"/>
      <c r="S67" s="493"/>
      <c r="T67" s="493"/>
      <c r="U67" s="492"/>
      <c r="V67" s="492"/>
      <c r="W67" s="492"/>
      <c r="X67" s="492"/>
      <c r="Y67" s="492"/>
      <c r="Z67" s="494"/>
      <c r="AA67" s="494"/>
      <c r="AB67" s="494"/>
      <c r="AC67" s="494"/>
      <c r="AD67" s="493"/>
      <c r="AE67" s="493"/>
      <c r="AF67" s="492"/>
      <c r="AG67" s="495">
        <v>59</v>
      </c>
      <c r="AH67" s="494"/>
      <c r="AI67" s="495">
        <v>59</v>
      </c>
    </row>
    <row r="68" spans="1:35" s="486" customFormat="1" ht="14.25" customHeight="1" x14ac:dyDescent="0.2">
      <c r="A68" s="483">
        <v>44</v>
      </c>
      <c r="B68" s="490">
        <v>49</v>
      </c>
      <c r="C68" s="507">
        <f>[9]стоимость!J53</f>
        <v>165048</v>
      </c>
      <c r="D68" s="493"/>
      <c r="E68" s="493"/>
      <c r="F68" s="508"/>
      <c r="G68" s="493">
        <v>200</v>
      </c>
      <c r="H68" s="493"/>
      <c r="I68" s="497"/>
      <c r="J68" s="493"/>
      <c r="K68" s="493"/>
      <c r="L68" s="493"/>
      <c r="M68" s="497"/>
      <c r="N68" s="493"/>
      <c r="O68" s="492">
        <v>15</v>
      </c>
      <c r="P68" s="497"/>
      <c r="Q68" s="497"/>
      <c r="R68" s="493">
        <v>1</v>
      </c>
      <c r="S68" s="493"/>
      <c r="T68" s="493"/>
      <c r="U68" s="493"/>
      <c r="V68" s="492"/>
      <c r="W68" s="492"/>
      <c r="X68" s="492"/>
      <c r="Y68" s="492"/>
      <c r="Z68" s="494"/>
      <c r="AA68" s="494"/>
      <c r="AB68" s="494"/>
      <c r="AC68" s="494"/>
      <c r="AD68" s="493"/>
      <c r="AE68" s="493"/>
      <c r="AF68" s="492"/>
      <c r="AG68" s="495">
        <v>216</v>
      </c>
      <c r="AH68" s="494"/>
      <c r="AI68" s="495">
        <v>216</v>
      </c>
    </row>
    <row r="69" spans="1:35" s="486" customFormat="1" ht="14.25" customHeight="1" x14ac:dyDescent="0.2">
      <c r="A69" s="483">
        <v>45</v>
      </c>
      <c r="B69" s="490">
        <v>50</v>
      </c>
      <c r="C69" s="491">
        <f>[9]стоимость!J54</f>
        <v>307344</v>
      </c>
      <c r="D69" s="493"/>
      <c r="E69" s="493"/>
      <c r="F69" s="508"/>
      <c r="G69" s="493">
        <v>10</v>
      </c>
      <c r="H69" s="493"/>
      <c r="I69" s="497"/>
      <c r="J69" s="493"/>
      <c r="K69" s="493"/>
      <c r="L69" s="493"/>
      <c r="M69" s="497"/>
      <c r="N69" s="493"/>
      <c r="O69" s="492"/>
      <c r="P69" s="497"/>
      <c r="Q69" s="497"/>
      <c r="R69" s="493"/>
      <c r="S69" s="493"/>
      <c r="T69" s="493"/>
      <c r="U69" s="493"/>
      <c r="V69" s="492"/>
      <c r="W69" s="492"/>
      <c r="X69" s="492"/>
      <c r="Y69" s="492"/>
      <c r="Z69" s="494"/>
      <c r="AA69" s="494"/>
      <c r="AB69" s="494"/>
      <c r="AC69" s="494"/>
      <c r="AD69" s="493"/>
      <c r="AE69" s="493"/>
      <c r="AF69" s="492"/>
      <c r="AG69" s="495">
        <v>10</v>
      </c>
      <c r="AH69" s="494"/>
      <c r="AI69" s="495">
        <v>10</v>
      </c>
    </row>
    <row r="70" spans="1:35" s="486" customFormat="1" ht="14.25" customHeight="1" x14ac:dyDescent="0.2">
      <c r="A70" s="483">
        <v>46</v>
      </c>
      <c r="B70" s="490">
        <v>51</v>
      </c>
      <c r="C70" s="491">
        <f>[9]стоимость!J55</f>
        <v>250038</v>
      </c>
      <c r="D70" s="492"/>
      <c r="E70" s="492"/>
      <c r="F70" s="508"/>
      <c r="G70" s="492">
        <v>785</v>
      </c>
      <c r="H70" s="492"/>
      <c r="I70" s="492"/>
      <c r="J70" s="492"/>
      <c r="K70" s="492"/>
      <c r="L70" s="492"/>
      <c r="M70" s="492"/>
      <c r="N70" s="492"/>
      <c r="O70" s="492">
        <v>45</v>
      </c>
      <c r="P70" s="492"/>
      <c r="Q70" s="492"/>
      <c r="R70" s="492"/>
      <c r="S70" s="492"/>
      <c r="T70" s="492"/>
      <c r="U70" s="492"/>
      <c r="V70" s="492"/>
      <c r="W70" s="492"/>
      <c r="X70" s="492"/>
      <c r="Y70" s="492"/>
      <c r="Z70" s="494"/>
      <c r="AA70" s="494"/>
      <c r="AB70" s="494"/>
      <c r="AC70" s="494"/>
      <c r="AD70" s="492"/>
      <c r="AE70" s="492">
        <v>17</v>
      </c>
      <c r="AF70" s="492"/>
      <c r="AG70" s="495">
        <v>847</v>
      </c>
      <c r="AH70" s="494"/>
      <c r="AI70" s="495">
        <v>847</v>
      </c>
    </row>
    <row r="71" spans="1:35" s="486" customFormat="1" ht="14.25" customHeight="1" x14ac:dyDescent="0.2">
      <c r="A71" s="483">
        <v>47</v>
      </c>
      <c r="B71" s="490">
        <v>52</v>
      </c>
      <c r="C71" s="491">
        <f>[9]стоимость!J56</f>
        <v>783935</v>
      </c>
      <c r="D71" s="492">
        <v>11</v>
      </c>
      <c r="E71" s="492">
        <v>76</v>
      </c>
      <c r="F71" s="508"/>
      <c r="G71" s="492"/>
      <c r="H71" s="492"/>
      <c r="I71" s="492"/>
      <c r="J71" s="492"/>
      <c r="K71" s="492"/>
      <c r="L71" s="492"/>
      <c r="M71" s="492"/>
      <c r="N71" s="492"/>
      <c r="O71" s="492"/>
      <c r="P71" s="492">
        <v>15</v>
      </c>
      <c r="Q71" s="492"/>
      <c r="R71" s="492">
        <v>9</v>
      </c>
      <c r="S71" s="492"/>
      <c r="T71" s="492">
        <v>10</v>
      </c>
      <c r="U71" s="492">
        <v>4</v>
      </c>
      <c r="V71" s="492">
        <v>5</v>
      </c>
      <c r="W71" s="492">
        <v>5</v>
      </c>
      <c r="X71" s="492"/>
      <c r="Y71" s="492"/>
      <c r="Z71" s="494"/>
      <c r="AA71" s="494"/>
      <c r="AB71" s="494"/>
      <c r="AC71" s="494"/>
      <c r="AD71" s="492"/>
      <c r="AE71" s="492">
        <v>24</v>
      </c>
      <c r="AF71" s="492"/>
      <c r="AG71" s="495">
        <v>159</v>
      </c>
      <c r="AH71" s="494"/>
      <c r="AI71" s="495">
        <v>159</v>
      </c>
    </row>
    <row r="72" spans="1:35" s="486" customFormat="1" ht="14.25" customHeight="1" x14ac:dyDescent="0.2">
      <c r="A72" s="483">
        <v>48</v>
      </c>
      <c r="B72" s="490">
        <v>53</v>
      </c>
      <c r="C72" s="491">
        <f>[9]стоимость!J57</f>
        <v>437766</v>
      </c>
      <c r="D72" s="492"/>
      <c r="E72" s="492"/>
      <c r="F72" s="508"/>
      <c r="G72" s="492">
        <v>340</v>
      </c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4"/>
      <c r="AA72" s="494"/>
      <c r="AB72" s="494"/>
      <c r="AC72" s="494"/>
      <c r="AD72" s="492"/>
      <c r="AE72" s="492"/>
      <c r="AF72" s="492"/>
      <c r="AG72" s="495">
        <v>340</v>
      </c>
      <c r="AH72" s="494"/>
      <c r="AI72" s="495">
        <v>340</v>
      </c>
    </row>
    <row r="73" spans="1:35" s="482" customFormat="1" ht="19.5" customHeight="1" x14ac:dyDescent="0.2">
      <c r="A73" s="480"/>
      <c r="B73" s="950" t="s">
        <v>430</v>
      </c>
      <c r="C73" s="951"/>
      <c r="D73" s="488">
        <v>23</v>
      </c>
      <c r="E73" s="488">
        <v>0</v>
      </c>
      <c r="F73" s="488">
        <v>0</v>
      </c>
      <c r="G73" s="488">
        <v>0</v>
      </c>
      <c r="H73" s="488">
        <v>0</v>
      </c>
      <c r="I73" s="488">
        <v>0</v>
      </c>
      <c r="J73" s="488">
        <v>0</v>
      </c>
      <c r="K73" s="488">
        <v>1</v>
      </c>
      <c r="L73" s="488">
        <v>2</v>
      </c>
      <c r="M73" s="488">
        <v>0</v>
      </c>
      <c r="N73" s="488">
        <v>0</v>
      </c>
      <c r="O73" s="488">
        <v>0</v>
      </c>
      <c r="P73" s="488">
        <v>0</v>
      </c>
      <c r="Q73" s="488">
        <v>0</v>
      </c>
      <c r="R73" s="488">
        <v>0</v>
      </c>
      <c r="S73" s="488">
        <v>0</v>
      </c>
      <c r="T73" s="488">
        <v>0</v>
      </c>
      <c r="U73" s="488">
        <v>0</v>
      </c>
      <c r="V73" s="488">
        <v>0</v>
      </c>
      <c r="W73" s="488">
        <v>0</v>
      </c>
      <c r="X73" s="488">
        <v>0</v>
      </c>
      <c r="Y73" s="488">
        <v>0</v>
      </c>
      <c r="Z73" s="488">
        <v>0</v>
      </c>
      <c r="AA73" s="488">
        <v>0</v>
      </c>
      <c r="AB73" s="488">
        <v>0</v>
      </c>
      <c r="AC73" s="488">
        <v>0</v>
      </c>
      <c r="AD73" s="488">
        <v>0</v>
      </c>
      <c r="AE73" s="488">
        <v>0</v>
      </c>
      <c r="AF73" s="488">
        <v>0</v>
      </c>
      <c r="AG73" s="488">
        <v>26</v>
      </c>
      <c r="AH73" s="488">
        <v>0</v>
      </c>
      <c r="AI73" s="488">
        <v>26</v>
      </c>
    </row>
    <row r="74" spans="1:35" s="486" customFormat="1" ht="15.75" customHeight="1" x14ac:dyDescent="0.2">
      <c r="A74" s="483">
        <v>49</v>
      </c>
      <c r="B74" s="490">
        <v>54</v>
      </c>
      <c r="C74" s="491">
        <f>[9]стоимость!J58</f>
        <v>170411</v>
      </c>
      <c r="D74" s="493">
        <v>18</v>
      </c>
      <c r="E74" s="493"/>
      <c r="F74" s="493"/>
      <c r="G74" s="493"/>
      <c r="H74" s="493"/>
      <c r="I74" s="497"/>
      <c r="J74" s="493"/>
      <c r="K74" s="493">
        <v>1</v>
      </c>
      <c r="L74" s="493">
        <v>2</v>
      </c>
      <c r="M74" s="497"/>
      <c r="N74" s="493"/>
      <c r="O74" s="492"/>
      <c r="P74" s="497"/>
      <c r="Q74" s="497"/>
      <c r="R74" s="493"/>
      <c r="S74" s="493"/>
      <c r="T74" s="493"/>
      <c r="U74" s="493"/>
      <c r="V74" s="492"/>
      <c r="W74" s="492"/>
      <c r="X74" s="492"/>
      <c r="Y74" s="492"/>
      <c r="Z74" s="494"/>
      <c r="AA74" s="494"/>
      <c r="AB74" s="494"/>
      <c r="AC74" s="494"/>
      <c r="AD74" s="493"/>
      <c r="AE74" s="493"/>
      <c r="AF74" s="492"/>
      <c r="AG74" s="495">
        <v>21</v>
      </c>
      <c r="AH74" s="494"/>
      <c r="AI74" s="495">
        <v>21</v>
      </c>
    </row>
    <row r="75" spans="1:35" s="486" customFormat="1" ht="15.75" customHeight="1" x14ac:dyDescent="0.2">
      <c r="A75" s="483">
        <v>50</v>
      </c>
      <c r="B75" s="511">
        <v>55</v>
      </c>
      <c r="C75" s="491">
        <f>[9]стоимость!J59</f>
        <v>296164</v>
      </c>
      <c r="D75" s="493">
        <v>5</v>
      </c>
      <c r="E75" s="493"/>
      <c r="F75" s="493"/>
      <c r="G75" s="493"/>
      <c r="H75" s="493"/>
      <c r="I75" s="497"/>
      <c r="J75" s="493"/>
      <c r="K75" s="493"/>
      <c r="L75" s="493"/>
      <c r="M75" s="497"/>
      <c r="N75" s="493"/>
      <c r="O75" s="492"/>
      <c r="P75" s="497"/>
      <c r="Q75" s="497"/>
      <c r="R75" s="493"/>
      <c r="S75" s="493"/>
      <c r="T75" s="493"/>
      <c r="U75" s="493"/>
      <c r="V75" s="492"/>
      <c r="W75" s="492"/>
      <c r="X75" s="492"/>
      <c r="Y75" s="492"/>
      <c r="Z75" s="494"/>
      <c r="AA75" s="494"/>
      <c r="AB75" s="494"/>
      <c r="AC75" s="494"/>
      <c r="AD75" s="493"/>
      <c r="AE75" s="493"/>
      <c r="AF75" s="492"/>
      <c r="AG75" s="495">
        <v>5</v>
      </c>
      <c r="AH75" s="494"/>
      <c r="AI75" s="495">
        <v>5</v>
      </c>
    </row>
    <row r="76" spans="1:35" s="482" customFormat="1" ht="24" customHeight="1" x14ac:dyDescent="0.2">
      <c r="A76" s="480"/>
      <c r="B76" s="950" t="s">
        <v>431</v>
      </c>
      <c r="C76" s="951"/>
      <c r="D76" s="488">
        <v>347</v>
      </c>
      <c r="E76" s="488">
        <v>179</v>
      </c>
      <c r="F76" s="488">
        <v>0</v>
      </c>
      <c r="G76" s="488">
        <v>0</v>
      </c>
      <c r="H76" s="488">
        <v>0</v>
      </c>
      <c r="I76" s="488">
        <v>0</v>
      </c>
      <c r="J76" s="488">
        <v>260</v>
      </c>
      <c r="K76" s="488">
        <v>69</v>
      </c>
      <c r="L76" s="488">
        <v>243</v>
      </c>
      <c r="M76" s="488">
        <v>0</v>
      </c>
      <c r="N76" s="488">
        <v>84</v>
      </c>
      <c r="O76" s="488">
        <v>220</v>
      </c>
      <c r="P76" s="488">
        <v>225</v>
      </c>
      <c r="Q76" s="488">
        <v>0</v>
      </c>
      <c r="R76" s="488">
        <v>26</v>
      </c>
      <c r="S76" s="488">
        <v>35</v>
      </c>
      <c r="T76" s="488">
        <v>77</v>
      </c>
      <c r="U76" s="488">
        <v>45</v>
      </c>
      <c r="V76" s="488">
        <v>0</v>
      </c>
      <c r="W76" s="488">
        <v>18</v>
      </c>
      <c r="X76" s="488">
        <v>10</v>
      </c>
      <c r="Y76" s="488">
        <v>0</v>
      </c>
      <c r="Z76" s="488">
        <v>0</v>
      </c>
      <c r="AA76" s="488">
        <v>0</v>
      </c>
      <c r="AB76" s="488">
        <v>0</v>
      </c>
      <c r="AC76" s="488">
        <v>0</v>
      </c>
      <c r="AD76" s="488">
        <v>0</v>
      </c>
      <c r="AE76" s="488">
        <v>0</v>
      </c>
      <c r="AF76" s="488">
        <v>40</v>
      </c>
      <c r="AG76" s="488">
        <v>1878</v>
      </c>
      <c r="AH76" s="488">
        <v>0</v>
      </c>
      <c r="AI76" s="488">
        <v>1878</v>
      </c>
    </row>
    <row r="77" spans="1:35" s="486" customFormat="1" ht="15.75" customHeight="1" x14ac:dyDescent="0.2">
      <c r="A77" s="483">
        <v>51</v>
      </c>
      <c r="B77" s="512">
        <v>56</v>
      </c>
      <c r="C77" s="491">
        <f>[9]стоимость!J60</f>
        <v>160673</v>
      </c>
      <c r="D77" s="492">
        <v>85</v>
      </c>
      <c r="E77" s="492">
        <v>65</v>
      </c>
      <c r="F77" s="492"/>
      <c r="G77" s="492"/>
      <c r="H77" s="492"/>
      <c r="I77" s="492"/>
      <c r="J77" s="492">
        <v>40</v>
      </c>
      <c r="K77" s="492">
        <v>64</v>
      </c>
      <c r="L77" s="492">
        <v>229</v>
      </c>
      <c r="M77" s="492"/>
      <c r="N77" s="492">
        <v>60</v>
      </c>
      <c r="O77" s="492">
        <v>20</v>
      </c>
      <c r="P77" s="492">
        <v>40</v>
      </c>
      <c r="Q77" s="492"/>
      <c r="R77" s="492">
        <v>14</v>
      </c>
      <c r="S77" s="492"/>
      <c r="T77" s="492">
        <v>37</v>
      </c>
      <c r="U77" s="492">
        <v>10</v>
      </c>
      <c r="V77" s="492"/>
      <c r="W77" s="492">
        <v>7</v>
      </c>
      <c r="X77" s="492"/>
      <c r="Y77" s="492"/>
      <c r="Z77" s="494"/>
      <c r="AA77" s="494"/>
      <c r="AB77" s="494"/>
      <c r="AC77" s="494"/>
      <c r="AD77" s="492"/>
      <c r="AE77" s="492"/>
      <c r="AF77" s="492">
        <v>10</v>
      </c>
      <c r="AG77" s="495">
        <v>681</v>
      </c>
      <c r="AH77" s="494"/>
      <c r="AI77" s="495">
        <v>681</v>
      </c>
    </row>
    <row r="78" spans="1:35" s="486" customFormat="1" ht="15.75" customHeight="1" x14ac:dyDescent="0.2">
      <c r="A78" s="483">
        <v>52</v>
      </c>
      <c r="B78" s="512">
        <v>57</v>
      </c>
      <c r="C78" s="491">
        <f>[9]стоимость!J61</f>
        <v>330072</v>
      </c>
      <c r="D78" s="504">
        <v>16</v>
      </c>
      <c r="E78" s="492">
        <v>49</v>
      </c>
      <c r="F78" s="492"/>
      <c r="G78" s="492"/>
      <c r="H78" s="492"/>
      <c r="I78" s="492"/>
      <c r="J78" s="492"/>
      <c r="K78" s="492">
        <v>5</v>
      </c>
      <c r="L78" s="504">
        <v>4</v>
      </c>
      <c r="M78" s="492"/>
      <c r="N78" s="492">
        <v>14</v>
      </c>
      <c r="O78" s="492"/>
      <c r="P78" s="492">
        <v>77</v>
      </c>
      <c r="Q78" s="492"/>
      <c r="R78" s="492">
        <v>10</v>
      </c>
      <c r="S78" s="492">
        <v>35</v>
      </c>
      <c r="T78" s="492">
        <v>40</v>
      </c>
      <c r="U78" s="492">
        <v>35</v>
      </c>
      <c r="V78" s="492"/>
      <c r="W78" s="492">
        <v>11</v>
      </c>
      <c r="X78" s="492">
        <v>10</v>
      </c>
      <c r="Y78" s="492"/>
      <c r="Z78" s="494"/>
      <c r="AA78" s="494"/>
      <c r="AB78" s="494"/>
      <c r="AC78" s="494"/>
      <c r="AD78" s="492"/>
      <c r="AE78" s="492"/>
      <c r="AF78" s="492"/>
      <c r="AG78" s="495">
        <v>306</v>
      </c>
      <c r="AH78" s="494"/>
      <c r="AI78" s="495">
        <v>306</v>
      </c>
    </row>
    <row r="79" spans="1:35" s="486" customFormat="1" ht="15.75" customHeight="1" x14ac:dyDescent="0.2">
      <c r="A79" s="483">
        <v>53</v>
      </c>
      <c r="B79" s="512">
        <v>58</v>
      </c>
      <c r="C79" s="491">
        <f>[9]стоимость!J62</f>
        <v>189581</v>
      </c>
      <c r="D79" s="492">
        <v>0</v>
      </c>
      <c r="E79" s="492">
        <v>0</v>
      </c>
      <c r="F79" s="492"/>
      <c r="G79" s="492"/>
      <c r="H79" s="492"/>
      <c r="I79" s="492"/>
      <c r="J79" s="492">
        <v>0</v>
      </c>
      <c r="K79" s="492"/>
      <c r="L79" s="492"/>
      <c r="M79" s="492"/>
      <c r="N79" s="492">
        <v>10</v>
      </c>
      <c r="O79" s="492">
        <v>20</v>
      </c>
      <c r="P79" s="492">
        <v>8</v>
      </c>
      <c r="Q79" s="492"/>
      <c r="R79" s="492">
        <v>0</v>
      </c>
      <c r="S79" s="492"/>
      <c r="T79" s="492">
        <v>0</v>
      </c>
      <c r="U79" s="492"/>
      <c r="V79" s="492"/>
      <c r="W79" s="492">
        <v>0</v>
      </c>
      <c r="X79" s="492">
        <v>0</v>
      </c>
      <c r="Y79" s="492"/>
      <c r="Z79" s="494"/>
      <c r="AA79" s="494"/>
      <c r="AB79" s="494"/>
      <c r="AC79" s="494"/>
      <c r="AD79" s="492"/>
      <c r="AE79" s="492"/>
      <c r="AF79" s="492">
        <v>30</v>
      </c>
      <c r="AG79" s="495">
        <v>68</v>
      </c>
      <c r="AH79" s="494">
        <v>0</v>
      </c>
      <c r="AI79" s="495">
        <v>68</v>
      </c>
    </row>
    <row r="80" spans="1:35" s="486" customFormat="1" ht="15.75" customHeight="1" x14ac:dyDescent="0.2">
      <c r="A80" s="483">
        <v>54</v>
      </c>
      <c r="B80" s="512">
        <v>59</v>
      </c>
      <c r="C80" s="491">
        <f>[9]стоимость!J63</f>
        <v>257186</v>
      </c>
      <c r="D80" s="504">
        <v>246</v>
      </c>
      <c r="E80" s="492">
        <v>65</v>
      </c>
      <c r="F80" s="492"/>
      <c r="G80" s="492"/>
      <c r="H80" s="492"/>
      <c r="I80" s="502"/>
      <c r="J80" s="492">
        <v>220</v>
      </c>
      <c r="K80" s="492"/>
      <c r="L80" s="492"/>
      <c r="M80" s="502"/>
      <c r="N80" s="492"/>
      <c r="O80" s="492">
        <v>180</v>
      </c>
      <c r="P80" s="492">
        <v>100</v>
      </c>
      <c r="Q80" s="492"/>
      <c r="R80" s="492">
        <v>2</v>
      </c>
      <c r="S80" s="492"/>
      <c r="T80" s="492"/>
      <c r="U80" s="492"/>
      <c r="V80" s="492"/>
      <c r="W80" s="492"/>
      <c r="X80" s="492"/>
      <c r="Y80" s="492"/>
      <c r="Z80" s="494"/>
      <c r="AA80" s="494"/>
      <c r="AB80" s="494"/>
      <c r="AC80" s="494"/>
      <c r="AD80" s="492"/>
      <c r="AE80" s="492"/>
      <c r="AF80" s="492"/>
      <c r="AG80" s="495">
        <v>813</v>
      </c>
      <c r="AH80" s="494"/>
      <c r="AI80" s="495">
        <v>813</v>
      </c>
    </row>
    <row r="81" spans="1:35" s="486" customFormat="1" ht="15.75" customHeight="1" x14ac:dyDescent="0.2">
      <c r="A81" s="483">
        <v>55</v>
      </c>
      <c r="B81" s="512">
        <v>60</v>
      </c>
      <c r="C81" s="491">
        <f>[9]стоимость!J64</f>
        <v>400476</v>
      </c>
      <c r="D81" s="492">
        <v>0</v>
      </c>
      <c r="E81" s="492"/>
      <c r="F81" s="492"/>
      <c r="G81" s="492"/>
      <c r="H81" s="492"/>
      <c r="I81" s="492"/>
      <c r="J81" s="492"/>
      <c r="K81" s="492"/>
      <c r="L81" s="492">
        <v>10</v>
      </c>
      <c r="M81" s="492"/>
      <c r="N81" s="492"/>
      <c r="O81" s="492"/>
      <c r="P81" s="492"/>
      <c r="Q81" s="492"/>
      <c r="R81" s="492"/>
      <c r="S81" s="492"/>
      <c r="T81" s="492"/>
      <c r="U81" s="492"/>
      <c r="V81" s="492"/>
      <c r="W81" s="492"/>
      <c r="X81" s="492"/>
      <c r="Y81" s="492"/>
      <c r="Z81" s="494"/>
      <c r="AA81" s="494"/>
      <c r="AB81" s="494"/>
      <c r="AC81" s="494"/>
      <c r="AD81" s="492"/>
      <c r="AE81" s="492"/>
      <c r="AF81" s="492"/>
      <c r="AG81" s="495">
        <v>10</v>
      </c>
      <c r="AH81" s="494"/>
      <c r="AI81" s="495">
        <v>10</v>
      </c>
    </row>
    <row r="82" spans="1:35" s="482" customFormat="1" ht="18.75" customHeight="1" x14ac:dyDescent="0.2">
      <c r="A82" s="480"/>
      <c r="B82" s="950" t="s">
        <v>432</v>
      </c>
      <c r="C82" s="951"/>
      <c r="D82" s="488">
        <v>135</v>
      </c>
      <c r="E82" s="488">
        <v>0</v>
      </c>
      <c r="F82" s="488">
        <v>0</v>
      </c>
      <c r="G82" s="488">
        <v>0</v>
      </c>
      <c r="H82" s="488">
        <v>0</v>
      </c>
      <c r="I82" s="488">
        <v>0</v>
      </c>
      <c r="J82" s="488">
        <v>0</v>
      </c>
      <c r="K82" s="488">
        <v>131</v>
      </c>
      <c r="L82" s="488">
        <v>42</v>
      </c>
      <c r="M82" s="488">
        <v>6</v>
      </c>
      <c r="N82" s="488">
        <v>0</v>
      </c>
      <c r="O82" s="488">
        <v>0</v>
      </c>
      <c r="P82" s="488">
        <v>10</v>
      </c>
      <c r="Q82" s="488">
        <v>0</v>
      </c>
      <c r="R82" s="488">
        <v>0</v>
      </c>
      <c r="S82" s="488">
        <v>0</v>
      </c>
      <c r="T82" s="488">
        <v>0</v>
      </c>
      <c r="U82" s="488">
        <v>0</v>
      </c>
      <c r="V82" s="488">
        <v>0</v>
      </c>
      <c r="W82" s="488">
        <v>0</v>
      </c>
      <c r="X82" s="488">
        <v>0</v>
      </c>
      <c r="Y82" s="488">
        <v>0</v>
      </c>
      <c r="Z82" s="488">
        <v>0</v>
      </c>
      <c r="AA82" s="488">
        <v>0</v>
      </c>
      <c r="AB82" s="488">
        <v>0</v>
      </c>
      <c r="AC82" s="488">
        <v>0</v>
      </c>
      <c r="AD82" s="488">
        <v>41</v>
      </c>
      <c r="AE82" s="488">
        <v>0</v>
      </c>
      <c r="AF82" s="488">
        <v>50</v>
      </c>
      <c r="AG82" s="488">
        <v>415</v>
      </c>
      <c r="AH82" s="488">
        <v>0</v>
      </c>
      <c r="AI82" s="488">
        <v>415</v>
      </c>
    </row>
    <row r="83" spans="1:35" s="486" customFormat="1" ht="18" customHeight="1" x14ac:dyDescent="0.2">
      <c r="A83" s="483">
        <v>56</v>
      </c>
      <c r="B83" s="490">
        <v>61</v>
      </c>
      <c r="C83" s="491">
        <f>[9]стоимость!J65</f>
        <v>113876</v>
      </c>
      <c r="D83" s="504">
        <v>115</v>
      </c>
      <c r="E83" s="492"/>
      <c r="F83" s="492"/>
      <c r="G83" s="492"/>
      <c r="H83" s="492"/>
      <c r="I83" s="492"/>
      <c r="J83" s="492"/>
      <c r="K83" s="492">
        <v>131</v>
      </c>
      <c r="L83" s="492">
        <v>42</v>
      </c>
      <c r="M83" s="492">
        <v>3</v>
      </c>
      <c r="N83" s="492"/>
      <c r="O83" s="492"/>
      <c r="P83" s="492">
        <v>10</v>
      </c>
      <c r="Q83" s="492"/>
      <c r="R83" s="492"/>
      <c r="S83" s="492"/>
      <c r="T83" s="492"/>
      <c r="U83" s="492"/>
      <c r="V83" s="492"/>
      <c r="W83" s="492"/>
      <c r="X83" s="492"/>
      <c r="Y83" s="492"/>
      <c r="Z83" s="494"/>
      <c r="AA83" s="494"/>
      <c r="AB83" s="494"/>
      <c r="AC83" s="494"/>
      <c r="AD83" s="492">
        <v>41</v>
      </c>
      <c r="AE83" s="492"/>
      <c r="AF83" s="492">
        <v>50</v>
      </c>
      <c r="AG83" s="495">
        <v>392</v>
      </c>
      <c r="AH83" s="494"/>
      <c r="AI83" s="495">
        <v>392</v>
      </c>
    </row>
    <row r="84" spans="1:35" s="486" customFormat="1" ht="12.75" customHeight="1" x14ac:dyDescent="0.2">
      <c r="A84" s="483">
        <v>57</v>
      </c>
      <c r="B84" s="490">
        <v>62</v>
      </c>
      <c r="C84" s="491">
        <f>[9]стоимость!J66</f>
        <v>168260</v>
      </c>
      <c r="D84" s="504">
        <v>20</v>
      </c>
      <c r="E84" s="492"/>
      <c r="F84" s="492"/>
      <c r="G84" s="492"/>
      <c r="H84" s="492"/>
      <c r="I84" s="492"/>
      <c r="J84" s="492"/>
      <c r="K84" s="492"/>
      <c r="L84" s="492"/>
      <c r="M84" s="492">
        <v>3</v>
      </c>
      <c r="N84" s="492"/>
      <c r="O84" s="492"/>
      <c r="P84" s="492"/>
      <c r="Q84" s="492"/>
      <c r="R84" s="492"/>
      <c r="S84" s="492"/>
      <c r="T84" s="492"/>
      <c r="U84" s="492"/>
      <c r="V84" s="492"/>
      <c r="W84" s="492"/>
      <c r="X84" s="492"/>
      <c r="Y84" s="492"/>
      <c r="Z84" s="494"/>
      <c r="AA84" s="494"/>
      <c r="AB84" s="494"/>
      <c r="AC84" s="494"/>
      <c r="AD84" s="492"/>
      <c r="AE84" s="492"/>
      <c r="AF84" s="492"/>
      <c r="AG84" s="495">
        <v>23</v>
      </c>
      <c r="AH84" s="494"/>
      <c r="AI84" s="495">
        <v>23</v>
      </c>
    </row>
    <row r="85" spans="1:35" s="486" customFormat="1" ht="12.75" customHeight="1" x14ac:dyDescent="0.2">
      <c r="A85" s="483"/>
      <c r="B85" s="950" t="s">
        <v>726</v>
      </c>
      <c r="C85" s="951"/>
      <c r="D85" s="513">
        <v>186</v>
      </c>
      <c r="E85" s="513">
        <v>0</v>
      </c>
      <c r="F85" s="513">
        <v>0</v>
      </c>
      <c r="G85" s="513">
        <v>0</v>
      </c>
      <c r="H85" s="513">
        <v>0</v>
      </c>
      <c r="I85" s="513">
        <v>0</v>
      </c>
      <c r="J85" s="513">
        <v>0</v>
      </c>
      <c r="K85" s="513">
        <v>0</v>
      </c>
      <c r="L85" s="513">
        <v>7</v>
      </c>
      <c r="M85" s="513">
        <v>0</v>
      </c>
      <c r="N85" s="513">
        <v>0</v>
      </c>
      <c r="O85" s="513">
        <v>0</v>
      </c>
      <c r="P85" s="513">
        <v>73</v>
      </c>
      <c r="Q85" s="513">
        <v>0</v>
      </c>
      <c r="R85" s="513">
        <v>0</v>
      </c>
      <c r="S85" s="513">
        <v>0</v>
      </c>
      <c r="T85" s="513">
        <v>0</v>
      </c>
      <c r="U85" s="513">
        <v>0</v>
      </c>
      <c r="V85" s="513">
        <v>0</v>
      </c>
      <c r="W85" s="513">
        <v>0</v>
      </c>
      <c r="X85" s="513">
        <v>0</v>
      </c>
      <c r="Y85" s="513">
        <v>0</v>
      </c>
      <c r="Z85" s="514">
        <v>0</v>
      </c>
      <c r="AA85" s="514">
        <v>0</v>
      </c>
      <c r="AB85" s="514">
        <v>0</v>
      </c>
      <c r="AC85" s="514">
        <v>0</v>
      </c>
      <c r="AD85" s="513">
        <v>25</v>
      </c>
      <c r="AE85" s="513">
        <v>0</v>
      </c>
      <c r="AF85" s="513">
        <v>0</v>
      </c>
      <c r="AG85" s="513">
        <v>291</v>
      </c>
      <c r="AH85" s="514">
        <v>0</v>
      </c>
      <c r="AI85" s="513">
        <v>291</v>
      </c>
    </row>
    <row r="86" spans="1:35" s="486" customFormat="1" ht="12.75" customHeight="1" x14ac:dyDescent="0.2">
      <c r="A86" s="483">
        <v>1</v>
      </c>
      <c r="B86" s="490">
        <v>63</v>
      </c>
      <c r="C86" s="491">
        <f>[9]стоимость!J67</f>
        <v>197786</v>
      </c>
      <c r="D86" s="504">
        <v>158</v>
      </c>
      <c r="E86" s="492"/>
      <c r="F86" s="492"/>
      <c r="G86" s="492"/>
      <c r="H86" s="492"/>
      <c r="I86" s="492"/>
      <c r="J86" s="492"/>
      <c r="K86" s="492"/>
      <c r="L86" s="492">
        <v>7</v>
      </c>
      <c r="M86" s="492"/>
      <c r="N86" s="492"/>
      <c r="O86" s="492"/>
      <c r="P86" s="492">
        <v>70</v>
      </c>
      <c r="Q86" s="492"/>
      <c r="R86" s="492"/>
      <c r="S86" s="492"/>
      <c r="T86" s="492"/>
      <c r="U86" s="492"/>
      <c r="V86" s="492"/>
      <c r="W86" s="492"/>
      <c r="X86" s="492"/>
      <c r="Y86" s="492"/>
      <c r="Z86" s="494"/>
      <c r="AA86" s="494"/>
      <c r="AB86" s="494"/>
      <c r="AC86" s="494"/>
      <c r="AD86" s="492">
        <v>25</v>
      </c>
      <c r="AE86" s="492"/>
      <c r="AF86" s="492"/>
      <c r="AG86" s="495">
        <v>260</v>
      </c>
      <c r="AH86" s="494"/>
      <c r="AI86" s="495">
        <v>260</v>
      </c>
    </row>
    <row r="87" spans="1:35" s="486" customFormat="1" ht="12.75" customHeight="1" x14ac:dyDescent="0.2">
      <c r="A87" s="483">
        <v>2</v>
      </c>
      <c r="B87" s="490">
        <v>64</v>
      </c>
      <c r="C87" s="491">
        <f>[9]стоимость!J68</f>
        <v>214839</v>
      </c>
      <c r="D87" s="504">
        <v>28</v>
      </c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492"/>
      <c r="P87" s="492">
        <v>3</v>
      </c>
      <c r="Q87" s="492"/>
      <c r="R87" s="492"/>
      <c r="S87" s="492"/>
      <c r="T87" s="492"/>
      <c r="U87" s="492"/>
      <c r="V87" s="492"/>
      <c r="W87" s="492"/>
      <c r="X87" s="492"/>
      <c r="Y87" s="492"/>
      <c r="Z87" s="494"/>
      <c r="AA87" s="494"/>
      <c r="AB87" s="494"/>
      <c r="AC87" s="494"/>
      <c r="AD87" s="492"/>
      <c r="AE87" s="492"/>
      <c r="AF87" s="492"/>
      <c r="AG87" s="495">
        <v>31</v>
      </c>
      <c r="AH87" s="494"/>
      <c r="AI87" s="495">
        <v>31</v>
      </c>
    </row>
    <row r="88" spans="1:35" s="482" customFormat="1" ht="24.75" customHeight="1" x14ac:dyDescent="0.2">
      <c r="A88" s="480"/>
      <c r="B88" s="950" t="s">
        <v>433</v>
      </c>
      <c r="C88" s="951"/>
      <c r="D88" s="488">
        <v>0</v>
      </c>
      <c r="E88" s="488">
        <v>0</v>
      </c>
      <c r="F88" s="488">
        <v>0</v>
      </c>
      <c r="G88" s="488">
        <v>0</v>
      </c>
      <c r="H88" s="488">
        <v>0</v>
      </c>
      <c r="I88" s="488">
        <v>0</v>
      </c>
      <c r="J88" s="488">
        <v>0</v>
      </c>
      <c r="K88" s="488">
        <v>60</v>
      </c>
      <c r="L88" s="488">
        <v>0</v>
      </c>
      <c r="M88" s="488">
        <v>0</v>
      </c>
      <c r="N88" s="488">
        <v>0</v>
      </c>
      <c r="O88" s="488">
        <v>0</v>
      </c>
      <c r="P88" s="488">
        <v>51</v>
      </c>
      <c r="Q88" s="488">
        <v>0</v>
      </c>
      <c r="R88" s="488">
        <v>0</v>
      </c>
      <c r="S88" s="488">
        <v>0</v>
      </c>
      <c r="T88" s="488">
        <v>13</v>
      </c>
      <c r="U88" s="488">
        <v>0</v>
      </c>
      <c r="V88" s="488">
        <v>0</v>
      </c>
      <c r="W88" s="488">
        <v>0</v>
      </c>
      <c r="X88" s="488">
        <v>0</v>
      </c>
      <c r="Y88" s="488">
        <v>0</v>
      </c>
      <c r="Z88" s="488">
        <v>0</v>
      </c>
      <c r="AA88" s="488">
        <v>0</v>
      </c>
      <c r="AB88" s="488">
        <v>0</v>
      </c>
      <c r="AC88" s="488">
        <v>0</v>
      </c>
      <c r="AD88" s="488">
        <v>0</v>
      </c>
      <c r="AE88" s="488">
        <v>0</v>
      </c>
      <c r="AF88" s="488">
        <v>0</v>
      </c>
      <c r="AG88" s="488">
        <v>124</v>
      </c>
      <c r="AH88" s="488">
        <v>0</v>
      </c>
      <c r="AI88" s="488">
        <v>124</v>
      </c>
    </row>
    <row r="89" spans="1:35" s="486" customFormat="1" ht="16.5" customHeight="1" x14ac:dyDescent="0.2">
      <c r="A89" s="483">
        <v>58</v>
      </c>
      <c r="B89" s="490">
        <v>65</v>
      </c>
      <c r="C89" s="491">
        <f>[9]стоимость!J69</f>
        <v>148891</v>
      </c>
      <c r="D89" s="492"/>
      <c r="E89" s="492"/>
      <c r="F89" s="492"/>
      <c r="G89" s="492"/>
      <c r="H89" s="492"/>
      <c r="I89" s="492"/>
      <c r="J89" s="492"/>
      <c r="K89" s="492">
        <v>60</v>
      </c>
      <c r="L89" s="492"/>
      <c r="M89" s="492"/>
      <c r="N89" s="492"/>
      <c r="O89" s="492"/>
      <c r="P89" s="492">
        <v>51</v>
      </c>
      <c r="Q89" s="492"/>
      <c r="R89" s="492"/>
      <c r="S89" s="492"/>
      <c r="T89" s="492">
        <v>13</v>
      </c>
      <c r="U89" s="492"/>
      <c r="V89" s="492"/>
      <c r="W89" s="492"/>
      <c r="X89" s="492"/>
      <c r="Y89" s="492"/>
      <c r="Z89" s="494"/>
      <c r="AA89" s="494"/>
      <c r="AB89" s="494"/>
      <c r="AC89" s="494"/>
      <c r="AD89" s="492"/>
      <c r="AE89" s="492"/>
      <c r="AF89" s="492"/>
      <c r="AG89" s="495">
        <v>124</v>
      </c>
      <c r="AH89" s="494"/>
      <c r="AI89" s="495">
        <v>124</v>
      </c>
    </row>
    <row r="90" spans="1:35" s="482" customFormat="1" ht="18.75" customHeight="1" x14ac:dyDescent="0.2">
      <c r="A90" s="480"/>
      <c r="B90" s="950" t="s">
        <v>434</v>
      </c>
      <c r="C90" s="951"/>
      <c r="D90" s="488">
        <v>10</v>
      </c>
      <c r="E90" s="488">
        <v>0</v>
      </c>
      <c r="F90" s="488">
        <v>0</v>
      </c>
      <c r="G90" s="488">
        <v>0</v>
      </c>
      <c r="H90" s="488">
        <v>0</v>
      </c>
      <c r="I90" s="488">
        <v>0</v>
      </c>
      <c r="J90" s="488">
        <v>0</v>
      </c>
      <c r="K90" s="488">
        <v>80</v>
      </c>
      <c r="L90" s="488">
        <v>0</v>
      </c>
      <c r="M90" s="488">
        <v>0</v>
      </c>
      <c r="N90" s="488">
        <v>0</v>
      </c>
      <c r="O90" s="488">
        <v>0</v>
      </c>
      <c r="P90" s="488">
        <v>10</v>
      </c>
      <c r="Q90" s="488">
        <v>0</v>
      </c>
      <c r="R90" s="488">
        <v>0</v>
      </c>
      <c r="S90" s="488">
        <v>0</v>
      </c>
      <c r="T90" s="488">
        <v>0</v>
      </c>
      <c r="U90" s="488">
        <v>0</v>
      </c>
      <c r="V90" s="488">
        <v>0</v>
      </c>
      <c r="W90" s="488">
        <v>0</v>
      </c>
      <c r="X90" s="488">
        <v>0</v>
      </c>
      <c r="Y90" s="488">
        <v>0</v>
      </c>
      <c r="Z90" s="488">
        <v>0</v>
      </c>
      <c r="AA90" s="488">
        <v>0</v>
      </c>
      <c r="AB90" s="488">
        <v>0</v>
      </c>
      <c r="AC90" s="488">
        <v>0</v>
      </c>
      <c r="AD90" s="488">
        <v>0</v>
      </c>
      <c r="AE90" s="488">
        <v>0</v>
      </c>
      <c r="AF90" s="488">
        <v>0</v>
      </c>
      <c r="AG90" s="488">
        <v>100</v>
      </c>
      <c r="AH90" s="488">
        <v>0</v>
      </c>
      <c r="AI90" s="488">
        <v>100</v>
      </c>
    </row>
    <row r="91" spans="1:35" s="486" customFormat="1" ht="15.75" customHeight="1" x14ac:dyDescent="0.2">
      <c r="A91" s="483">
        <v>59</v>
      </c>
      <c r="B91" s="490">
        <v>66</v>
      </c>
      <c r="C91" s="491">
        <f>[9]стоимость!J70</f>
        <v>220834</v>
      </c>
      <c r="D91" s="492">
        <v>10</v>
      </c>
      <c r="E91" s="492"/>
      <c r="F91" s="492"/>
      <c r="G91" s="492"/>
      <c r="H91" s="492"/>
      <c r="I91" s="492"/>
      <c r="J91" s="492"/>
      <c r="K91" s="492">
        <v>80</v>
      </c>
      <c r="L91" s="492"/>
      <c r="M91" s="492"/>
      <c r="N91" s="492"/>
      <c r="O91" s="492"/>
      <c r="P91" s="492">
        <v>10</v>
      </c>
      <c r="Q91" s="492"/>
      <c r="R91" s="492"/>
      <c r="S91" s="492"/>
      <c r="T91" s="492"/>
      <c r="U91" s="492"/>
      <c r="V91" s="492"/>
      <c r="W91" s="492"/>
      <c r="X91" s="492"/>
      <c r="Y91" s="492"/>
      <c r="Z91" s="494"/>
      <c r="AA91" s="494"/>
      <c r="AB91" s="494"/>
      <c r="AC91" s="494"/>
      <c r="AD91" s="492"/>
      <c r="AE91" s="492"/>
      <c r="AF91" s="492"/>
      <c r="AG91" s="495">
        <v>100</v>
      </c>
      <c r="AH91" s="494"/>
      <c r="AI91" s="495">
        <v>100</v>
      </c>
    </row>
    <row r="92" spans="1:35" s="486" customFormat="1" ht="17.25" customHeight="1" x14ac:dyDescent="0.2">
      <c r="A92" s="483">
        <v>60</v>
      </c>
      <c r="B92" s="490">
        <v>67</v>
      </c>
      <c r="C92" s="491">
        <f>[9]стоимость!J71</f>
        <v>123613</v>
      </c>
      <c r="D92" s="492"/>
      <c r="E92" s="492"/>
      <c r="F92" s="492"/>
      <c r="G92" s="492"/>
      <c r="H92" s="492"/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2"/>
      <c r="T92" s="492"/>
      <c r="U92" s="492"/>
      <c r="V92" s="492"/>
      <c r="W92" s="492"/>
      <c r="X92" s="492"/>
      <c r="Y92" s="492"/>
      <c r="Z92" s="494"/>
      <c r="AA92" s="494"/>
      <c r="AB92" s="494"/>
      <c r="AC92" s="494"/>
      <c r="AD92" s="492"/>
      <c r="AE92" s="492"/>
      <c r="AF92" s="492"/>
      <c r="AG92" s="495">
        <v>0</v>
      </c>
      <c r="AH92" s="494"/>
      <c r="AI92" s="495">
        <v>0</v>
      </c>
    </row>
    <row r="93" spans="1:35" s="482" customFormat="1" ht="18.75" customHeight="1" x14ac:dyDescent="0.2">
      <c r="A93" s="480"/>
      <c r="B93" s="956" t="s">
        <v>6</v>
      </c>
      <c r="C93" s="957"/>
      <c r="D93" s="515">
        <f>D6+D9+D11+D14+D16+D18+D21+D28+D31+D39+D43+D53+D55+D73+D76+D82+D85+D88+D90+D47</f>
        <v>2887</v>
      </c>
      <c r="E93" s="515">
        <f t="shared" ref="E93:AI93" si="0">E6+E9+E11+E14+E16+E18+E21+E28+E31+E39+E43+E53+E55+E73+E76+E82+E85+E88+E90+E47</f>
        <v>1118</v>
      </c>
      <c r="F93" s="515">
        <f t="shared" si="0"/>
        <v>871</v>
      </c>
      <c r="G93" s="515">
        <f t="shared" si="0"/>
        <v>3680</v>
      </c>
      <c r="H93" s="515">
        <f t="shared" si="0"/>
        <v>1687</v>
      </c>
      <c r="I93" s="515">
        <f t="shared" si="0"/>
        <v>48</v>
      </c>
      <c r="J93" s="515">
        <f t="shared" si="0"/>
        <v>260</v>
      </c>
      <c r="K93" s="515">
        <f t="shared" si="0"/>
        <v>1086</v>
      </c>
      <c r="L93" s="515">
        <f t="shared" si="0"/>
        <v>401</v>
      </c>
      <c r="M93" s="515">
        <f t="shared" si="0"/>
        <v>1190</v>
      </c>
      <c r="N93" s="515">
        <f t="shared" si="0"/>
        <v>369</v>
      </c>
      <c r="O93" s="515">
        <f t="shared" si="0"/>
        <v>786</v>
      </c>
      <c r="P93" s="515">
        <f t="shared" si="0"/>
        <v>1188</v>
      </c>
      <c r="Q93" s="515">
        <f t="shared" si="0"/>
        <v>120</v>
      </c>
      <c r="R93" s="515">
        <f t="shared" si="0"/>
        <v>253</v>
      </c>
      <c r="S93" s="515">
        <f t="shared" si="0"/>
        <v>467</v>
      </c>
      <c r="T93" s="515">
        <f t="shared" si="0"/>
        <v>1091</v>
      </c>
      <c r="U93" s="515">
        <f t="shared" si="0"/>
        <v>125</v>
      </c>
      <c r="V93" s="515">
        <f t="shared" si="0"/>
        <v>269</v>
      </c>
      <c r="W93" s="515">
        <f t="shared" si="0"/>
        <v>203</v>
      </c>
      <c r="X93" s="515">
        <f t="shared" si="0"/>
        <v>20</v>
      </c>
      <c r="Y93" s="515">
        <f t="shared" si="0"/>
        <v>138</v>
      </c>
      <c r="Z93" s="515">
        <f t="shared" si="0"/>
        <v>130</v>
      </c>
      <c r="AA93" s="515">
        <f t="shared" si="0"/>
        <v>113</v>
      </c>
      <c r="AB93" s="515">
        <f t="shared" si="0"/>
        <v>94</v>
      </c>
      <c r="AC93" s="515">
        <f t="shared" si="0"/>
        <v>90</v>
      </c>
      <c r="AD93" s="515">
        <f t="shared" si="0"/>
        <v>278</v>
      </c>
      <c r="AE93" s="515">
        <f t="shared" si="0"/>
        <v>450</v>
      </c>
      <c r="AF93" s="515">
        <f t="shared" si="0"/>
        <v>150</v>
      </c>
      <c r="AG93" s="515">
        <f t="shared" si="0"/>
        <v>19562</v>
      </c>
      <c r="AH93" s="515">
        <f t="shared" si="0"/>
        <v>75</v>
      </c>
      <c r="AI93" s="515">
        <f t="shared" si="0"/>
        <v>19637</v>
      </c>
    </row>
    <row r="94" spans="1:35" s="521" customFormat="1" ht="15.75" x14ac:dyDescent="0.25">
      <c r="A94" s="516"/>
      <c r="B94" s="517"/>
      <c r="C94" s="518"/>
      <c r="D94" s="519"/>
      <c r="E94" s="519"/>
      <c r="F94" s="519"/>
      <c r="G94" s="519"/>
      <c r="H94" s="519"/>
      <c r="I94" s="518"/>
      <c r="J94" s="519"/>
      <c r="K94" s="520"/>
      <c r="L94" s="520"/>
      <c r="N94" s="520"/>
      <c r="P94" s="516"/>
      <c r="R94" s="520"/>
      <c r="S94" s="520"/>
      <c r="T94" s="520"/>
      <c r="U94" s="520"/>
      <c r="Z94" s="520"/>
      <c r="AA94" s="520"/>
      <c r="AC94" s="520"/>
      <c r="AD94" s="520"/>
      <c r="AE94" s="520"/>
      <c r="AH94" s="520"/>
      <c r="AI94" s="520"/>
    </row>
    <row r="95" spans="1:35" s="521" customFormat="1" ht="15.75" x14ac:dyDescent="0.25">
      <c r="A95" s="516"/>
      <c r="B95" s="517"/>
      <c r="C95" s="518"/>
      <c r="D95" s="914"/>
      <c r="E95" s="914"/>
      <c r="F95" s="519"/>
      <c r="G95" s="914"/>
      <c r="H95" s="914"/>
      <c r="I95" s="518"/>
      <c r="J95" s="519"/>
      <c r="K95" s="915"/>
      <c r="L95" s="520"/>
      <c r="M95" s="916"/>
      <c r="N95" s="520"/>
      <c r="P95" s="917"/>
      <c r="R95" s="520"/>
      <c r="S95" s="520"/>
      <c r="T95" s="915"/>
      <c r="U95" s="520"/>
      <c r="Z95" s="520"/>
      <c r="AA95" s="520"/>
      <c r="AC95" s="520"/>
      <c r="AD95" s="520"/>
      <c r="AE95" s="520"/>
      <c r="AG95" s="916"/>
      <c r="AH95" s="520"/>
      <c r="AI95" s="915"/>
    </row>
    <row r="96" spans="1:35" ht="15.75" x14ac:dyDescent="0.25">
      <c r="B96" s="517"/>
      <c r="C96" s="522"/>
      <c r="D96" s="914"/>
      <c r="E96" s="519"/>
      <c r="F96" s="519"/>
      <c r="G96" s="519"/>
      <c r="H96" s="519"/>
      <c r="I96" s="518"/>
      <c r="J96" s="519"/>
    </row>
    <row r="97" spans="2:10" ht="15.75" x14ac:dyDescent="0.25">
      <c r="B97" s="517"/>
      <c r="C97" s="522"/>
      <c r="D97" s="519"/>
      <c r="E97" s="519"/>
      <c r="F97" s="519"/>
      <c r="G97" s="519"/>
      <c r="H97" s="519"/>
      <c r="I97" s="518"/>
      <c r="J97" s="519"/>
    </row>
  </sheetData>
  <autoFilter ref="A5:AL93" xr:uid="{00000000-0009-0000-0000-000001000000}"/>
  <mergeCells count="24">
    <mergeCell ref="B93:C93"/>
    <mergeCell ref="B39:C39"/>
    <mergeCell ref="B43:C43"/>
    <mergeCell ref="B47:C47"/>
    <mergeCell ref="B53:C53"/>
    <mergeCell ref="B55:C55"/>
    <mergeCell ref="B73:C73"/>
    <mergeCell ref="B76:C76"/>
    <mergeCell ref="B82:C82"/>
    <mergeCell ref="B85:C85"/>
    <mergeCell ref="B88:C88"/>
    <mergeCell ref="B90:C90"/>
    <mergeCell ref="B31:C31"/>
    <mergeCell ref="B1:P1"/>
    <mergeCell ref="B2:B4"/>
    <mergeCell ref="C2:C4"/>
    <mergeCell ref="B6:C6"/>
    <mergeCell ref="B9:C9"/>
    <mergeCell ref="B11:C11"/>
    <mergeCell ref="B14:C14"/>
    <mergeCell ref="B16:C16"/>
    <mergeCell ref="B18:C18"/>
    <mergeCell ref="B21:C21"/>
    <mergeCell ref="B28:C28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290"/>
  <sheetViews>
    <sheetView zoomScale="90" zoomScaleNormal="90" workbookViewId="0">
      <pane xSplit="3" ySplit="6" topLeftCell="D138" activePane="bottomRight" state="frozen"/>
      <selection pane="topRight" activeCell="D1" sqref="D1"/>
      <selection pane="bottomLeft" activeCell="A7" sqref="A7"/>
      <selection pane="bottomRight" activeCell="O142" sqref="O142"/>
    </sheetView>
  </sheetViews>
  <sheetFormatPr defaultRowHeight="12.75" x14ac:dyDescent="0.2"/>
  <cols>
    <col min="1" max="1" width="6.7109375" style="16" customWidth="1"/>
    <col min="2" max="2" width="8.28515625" style="16" customWidth="1"/>
    <col min="3" max="3" width="30.140625" style="16" customWidth="1"/>
    <col min="4" max="4" width="16.140625" style="710" customWidth="1"/>
    <col min="5" max="5" width="14.7109375" style="710" customWidth="1"/>
    <col min="6" max="6" width="11.140625" style="710" customWidth="1"/>
    <col min="7" max="7" width="10.7109375" style="710" customWidth="1"/>
    <col min="8" max="8" width="11.5703125" style="710" customWidth="1"/>
    <col min="9" max="9" width="10.7109375" style="710" customWidth="1"/>
    <col min="10" max="16384" width="9.140625" style="16"/>
  </cols>
  <sheetData>
    <row r="1" spans="1:21" ht="15.75" x14ac:dyDescent="0.25">
      <c r="A1" s="1162" t="s">
        <v>602</v>
      </c>
      <c r="B1" s="1163"/>
      <c r="C1" s="1163"/>
      <c r="D1" s="1163"/>
      <c r="E1" s="1163"/>
      <c r="F1" s="1163"/>
      <c r="G1" s="1163"/>
      <c r="H1" s="1163"/>
      <c r="I1" s="1163"/>
    </row>
    <row r="2" spans="1:21" ht="13.5" thickBot="1" x14ac:dyDescent="0.25"/>
    <row r="3" spans="1:21" ht="44.25" customHeight="1" x14ac:dyDescent="0.2">
      <c r="A3" s="1164" t="s">
        <v>0</v>
      </c>
      <c r="B3" s="1166" t="s">
        <v>603</v>
      </c>
      <c r="C3" s="1168" t="s">
        <v>292</v>
      </c>
      <c r="D3" s="1170" t="s">
        <v>604</v>
      </c>
      <c r="E3" s="1171"/>
      <c r="F3" s="1172" t="s">
        <v>605</v>
      </c>
      <c r="G3" s="1173"/>
      <c r="H3" s="1172" t="s">
        <v>606</v>
      </c>
      <c r="I3" s="1173"/>
    </row>
    <row r="4" spans="1:21" ht="58.5" customHeight="1" x14ac:dyDescent="0.2">
      <c r="A4" s="1165"/>
      <c r="B4" s="1167"/>
      <c r="C4" s="1169"/>
      <c r="D4" s="711" t="s">
        <v>289</v>
      </c>
      <c r="E4" s="712" t="s">
        <v>607</v>
      </c>
      <c r="F4" s="713" t="s">
        <v>608</v>
      </c>
      <c r="G4" s="714" t="s">
        <v>609</v>
      </c>
      <c r="H4" s="715" t="s">
        <v>610</v>
      </c>
      <c r="I4" s="714" t="s">
        <v>611</v>
      </c>
    </row>
    <row r="5" spans="1:21" ht="13.5" thickBot="1" x14ac:dyDescent="0.25">
      <c r="A5" s="716">
        <v>1</v>
      </c>
      <c r="B5" s="717">
        <v>2</v>
      </c>
      <c r="C5" s="718">
        <v>3</v>
      </c>
      <c r="D5" s="719">
        <v>4</v>
      </c>
      <c r="E5" s="720">
        <v>5</v>
      </c>
      <c r="F5" s="721">
        <v>6</v>
      </c>
      <c r="G5" s="722">
        <v>7</v>
      </c>
      <c r="H5" s="723">
        <v>8</v>
      </c>
      <c r="I5" s="722">
        <v>9</v>
      </c>
    </row>
    <row r="6" spans="1:21" x14ac:dyDescent="0.2">
      <c r="A6" s="1174" t="s">
        <v>6</v>
      </c>
      <c r="B6" s="1175"/>
      <c r="C6" s="1176"/>
      <c r="D6" s="724">
        <f>SUM(D7:D9)</f>
        <v>301334</v>
      </c>
      <c r="E6" s="725">
        <f t="shared" ref="E6:I6" si="0">SUM(E7:E9)</f>
        <v>9338</v>
      </c>
      <c r="F6" s="726">
        <f t="shared" si="0"/>
        <v>1859</v>
      </c>
      <c r="G6" s="725">
        <f t="shared" si="0"/>
        <v>27880</v>
      </c>
      <c r="H6" s="726">
        <f t="shared" si="0"/>
        <v>676</v>
      </c>
      <c r="I6" s="725">
        <f t="shared" si="0"/>
        <v>7440</v>
      </c>
      <c r="P6" s="32"/>
      <c r="Q6" s="32"/>
      <c r="R6" s="32"/>
      <c r="S6" s="32"/>
      <c r="T6" s="32"/>
      <c r="U6" s="32"/>
    </row>
    <row r="7" spans="1:21" x14ac:dyDescent="0.2">
      <c r="A7" s="1177" t="s">
        <v>14</v>
      </c>
      <c r="B7" s="1178"/>
      <c r="C7" s="1179"/>
      <c r="D7" s="727"/>
      <c r="E7" s="728"/>
      <c r="F7" s="729"/>
      <c r="G7" s="730"/>
      <c r="H7" s="731"/>
      <c r="I7" s="730"/>
      <c r="P7" s="32"/>
      <c r="Q7" s="32"/>
      <c r="R7" s="32"/>
      <c r="S7" s="32"/>
      <c r="T7" s="32"/>
      <c r="U7" s="32"/>
    </row>
    <row r="8" spans="1:21" x14ac:dyDescent="0.2">
      <c r="A8" s="1177" t="s">
        <v>445</v>
      </c>
      <c r="B8" s="1178"/>
      <c r="C8" s="1179"/>
      <c r="D8" s="727"/>
      <c r="E8" s="728"/>
      <c r="F8" s="729"/>
      <c r="G8" s="730"/>
      <c r="H8" s="731"/>
      <c r="I8" s="730"/>
      <c r="P8" s="32"/>
      <c r="Q8" s="32"/>
      <c r="R8" s="32"/>
      <c r="S8" s="32"/>
      <c r="T8" s="32"/>
      <c r="U8" s="32"/>
    </row>
    <row r="9" spans="1:21" s="738" customFormat="1" x14ac:dyDescent="0.2">
      <c r="A9" s="1177" t="s">
        <v>15</v>
      </c>
      <c r="B9" s="1178"/>
      <c r="C9" s="1179"/>
      <c r="D9" s="732">
        <f>SUM(D10:D152)</f>
        <v>301334</v>
      </c>
      <c r="E9" s="733">
        <f t="shared" ref="E9:I9" si="1">SUM(E10:E152)</f>
        <v>9338</v>
      </c>
      <c r="F9" s="734">
        <f t="shared" si="1"/>
        <v>1859</v>
      </c>
      <c r="G9" s="735">
        <f t="shared" si="1"/>
        <v>27880</v>
      </c>
      <c r="H9" s="736">
        <f t="shared" si="1"/>
        <v>676</v>
      </c>
      <c r="I9" s="737">
        <f t="shared" si="1"/>
        <v>7440</v>
      </c>
      <c r="P9" s="32"/>
      <c r="Q9" s="32"/>
      <c r="R9" s="32"/>
      <c r="S9" s="32"/>
      <c r="T9" s="32"/>
      <c r="U9" s="32"/>
    </row>
    <row r="10" spans="1:21" x14ac:dyDescent="0.2">
      <c r="A10" s="739">
        <v>1</v>
      </c>
      <c r="B10" s="740" t="s">
        <v>16</v>
      </c>
      <c r="C10" s="741" t="s">
        <v>17</v>
      </c>
      <c r="D10" s="742">
        <v>1628</v>
      </c>
      <c r="E10" s="743"/>
      <c r="F10" s="744"/>
      <c r="G10" s="743"/>
      <c r="H10" s="745"/>
      <c r="I10" s="743"/>
      <c r="P10" s="32"/>
      <c r="Q10" s="32"/>
      <c r="R10" s="32"/>
      <c r="S10" s="32"/>
      <c r="T10" s="32"/>
      <c r="U10" s="32"/>
    </row>
    <row r="11" spans="1:21" x14ac:dyDescent="0.2">
      <c r="A11" s="739">
        <v>2</v>
      </c>
      <c r="B11" s="740" t="s">
        <v>18</v>
      </c>
      <c r="C11" s="741" t="s">
        <v>19</v>
      </c>
      <c r="D11" s="746">
        <v>2377</v>
      </c>
      <c r="E11" s="743"/>
      <c r="F11" s="744"/>
      <c r="G11" s="743"/>
      <c r="H11" s="745"/>
      <c r="I11" s="743"/>
      <c r="P11" s="32"/>
      <c r="Q11" s="32"/>
      <c r="R11" s="32"/>
      <c r="S11" s="32"/>
      <c r="T11" s="32"/>
      <c r="U11" s="32"/>
    </row>
    <row r="12" spans="1:21" x14ac:dyDescent="0.2">
      <c r="A12" s="739">
        <v>3</v>
      </c>
      <c r="B12" s="747" t="s">
        <v>20</v>
      </c>
      <c r="C12" s="748" t="s">
        <v>21</v>
      </c>
      <c r="D12" s="746">
        <f>6217-1500</f>
        <v>4717</v>
      </c>
      <c r="E12" s="743"/>
      <c r="F12" s="744"/>
      <c r="G12" s="743"/>
      <c r="H12" s="745"/>
      <c r="I12" s="743"/>
      <c r="P12" s="32"/>
      <c r="Q12" s="32"/>
      <c r="R12" s="32"/>
      <c r="S12" s="32"/>
      <c r="T12" s="32"/>
      <c r="U12" s="32"/>
    </row>
    <row r="13" spans="1:21" x14ac:dyDescent="0.2">
      <c r="A13" s="739">
        <v>4</v>
      </c>
      <c r="B13" s="740" t="s">
        <v>22</v>
      </c>
      <c r="C13" s="741" t="s">
        <v>23</v>
      </c>
      <c r="D13" s="746">
        <v>1855</v>
      </c>
      <c r="E13" s="743"/>
      <c r="F13" s="744"/>
      <c r="G13" s="743"/>
      <c r="H13" s="745"/>
      <c r="I13" s="743"/>
      <c r="P13" s="32"/>
      <c r="Q13" s="32"/>
      <c r="R13" s="32"/>
      <c r="S13" s="32"/>
      <c r="T13" s="32"/>
      <c r="U13" s="32"/>
    </row>
    <row r="14" spans="1:21" ht="12" customHeight="1" x14ac:dyDescent="0.2">
      <c r="A14" s="739">
        <v>5</v>
      </c>
      <c r="B14" s="740" t="s">
        <v>24</v>
      </c>
      <c r="C14" s="741" t="s">
        <v>25</v>
      </c>
      <c r="D14" s="746">
        <v>1507</v>
      </c>
      <c r="E14" s="743"/>
      <c r="F14" s="744"/>
      <c r="G14" s="743"/>
      <c r="H14" s="745"/>
      <c r="I14" s="743"/>
      <c r="P14" s="32"/>
      <c r="Q14" s="32"/>
      <c r="R14" s="32"/>
      <c r="S14" s="32"/>
      <c r="T14" s="32"/>
      <c r="U14" s="32"/>
    </row>
    <row r="15" spans="1:21" x14ac:dyDescent="0.2">
      <c r="A15" s="739">
        <v>6</v>
      </c>
      <c r="B15" s="747" t="s">
        <v>26</v>
      </c>
      <c r="C15" s="748" t="s">
        <v>27</v>
      </c>
      <c r="D15" s="746">
        <f>17142-6209</f>
        <v>10933</v>
      </c>
      <c r="E15" s="743">
        <v>81</v>
      </c>
      <c r="F15" s="744"/>
      <c r="G15" s="743"/>
      <c r="H15" s="749">
        <v>282</v>
      </c>
      <c r="I15" s="743">
        <v>3100</v>
      </c>
      <c r="P15" s="32"/>
      <c r="Q15" s="32"/>
      <c r="R15" s="32"/>
      <c r="S15" s="32"/>
      <c r="T15" s="32"/>
      <c r="U15" s="32"/>
    </row>
    <row r="16" spans="1:21" x14ac:dyDescent="0.2">
      <c r="A16" s="739">
        <v>7</v>
      </c>
      <c r="B16" s="750" t="s">
        <v>28</v>
      </c>
      <c r="C16" s="751" t="s">
        <v>29</v>
      </c>
      <c r="D16" s="746">
        <f>3329+1148</f>
        <v>4477</v>
      </c>
      <c r="E16" s="743"/>
      <c r="F16" s="744"/>
      <c r="G16" s="743"/>
      <c r="H16" s="749"/>
      <c r="I16" s="743"/>
      <c r="P16" s="32"/>
      <c r="Q16" s="32"/>
      <c r="R16" s="32"/>
      <c r="S16" s="32"/>
      <c r="T16" s="32"/>
      <c r="U16" s="32"/>
    </row>
    <row r="17" spans="1:21" x14ac:dyDescent="0.2">
      <c r="A17" s="739">
        <v>8</v>
      </c>
      <c r="B17" s="747" t="s">
        <v>30</v>
      </c>
      <c r="C17" s="748" t="s">
        <v>31</v>
      </c>
      <c r="D17" s="746">
        <v>1926</v>
      </c>
      <c r="E17" s="743"/>
      <c r="F17" s="744"/>
      <c r="G17" s="743"/>
      <c r="H17" s="749"/>
      <c r="I17" s="743"/>
      <c r="P17" s="32"/>
      <c r="Q17" s="32"/>
      <c r="R17" s="32"/>
      <c r="S17" s="32"/>
      <c r="T17" s="32"/>
      <c r="U17" s="32"/>
    </row>
    <row r="18" spans="1:21" x14ac:dyDescent="0.2">
      <c r="A18" s="739">
        <v>9</v>
      </c>
      <c r="B18" s="747" t="s">
        <v>32</v>
      </c>
      <c r="C18" s="748" t="s">
        <v>33</v>
      </c>
      <c r="D18" s="746">
        <v>2324</v>
      </c>
      <c r="E18" s="743"/>
      <c r="F18" s="744"/>
      <c r="G18" s="743"/>
      <c r="H18" s="749"/>
      <c r="I18" s="743"/>
      <c r="P18" s="32"/>
      <c r="Q18" s="32"/>
      <c r="R18" s="32"/>
      <c r="S18" s="32"/>
      <c r="T18" s="32"/>
      <c r="U18" s="32"/>
    </row>
    <row r="19" spans="1:21" x14ac:dyDescent="0.2">
      <c r="A19" s="739">
        <v>10</v>
      </c>
      <c r="B19" s="747" t="s">
        <v>34</v>
      </c>
      <c r="C19" s="748" t="s">
        <v>35</v>
      </c>
      <c r="D19" s="746">
        <f>1644+700</f>
        <v>2344</v>
      </c>
      <c r="E19" s="743"/>
      <c r="F19" s="744"/>
      <c r="G19" s="743"/>
      <c r="H19" s="749"/>
      <c r="I19" s="743"/>
      <c r="P19" s="32"/>
      <c r="Q19" s="32"/>
      <c r="R19" s="32"/>
      <c r="S19" s="32"/>
      <c r="T19" s="32"/>
      <c r="U19" s="32"/>
    </row>
    <row r="20" spans="1:21" x14ac:dyDescent="0.2">
      <c r="A20" s="739">
        <v>11</v>
      </c>
      <c r="B20" s="747" t="s">
        <v>36</v>
      </c>
      <c r="C20" s="748" t="s">
        <v>37</v>
      </c>
      <c r="D20" s="746">
        <v>1675</v>
      </c>
      <c r="E20" s="743"/>
      <c r="F20" s="744"/>
      <c r="G20" s="743"/>
      <c r="H20" s="749"/>
      <c r="I20" s="743"/>
      <c r="P20" s="32"/>
      <c r="Q20" s="32"/>
      <c r="R20" s="32"/>
      <c r="S20" s="32"/>
      <c r="T20" s="32"/>
      <c r="U20" s="32"/>
    </row>
    <row r="21" spans="1:21" x14ac:dyDescent="0.2">
      <c r="A21" s="739">
        <v>12</v>
      </c>
      <c r="B21" s="747" t="s">
        <v>38</v>
      </c>
      <c r="C21" s="748" t="s">
        <v>39</v>
      </c>
      <c r="D21" s="746">
        <f>2618+565</f>
        <v>3183</v>
      </c>
      <c r="E21" s="743"/>
      <c r="F21" s="744"/>
      <c r="G21" s="743"/>
      <c r="H21" s="749"/>
      <c r="I21" s="743"/>
      <c r="P21" s="32"/>
      <c r="Q21" s="32"/>
      <c r="R21" s="32"/>
      <c r="S21" s="32"/>
      <c r="T21" s="32"/>
      <c r="U21" s="32"/>
    </row>
    <row r="22" spans="1:21" x14ac:dyDescent="0.2">
      <c r="A22" s="739">
        <v>13</v>
      </c>
      <c r="B22" s="752" t="s">
        <v>40</v>
      </c>
      <c r="C22" s="753" t="s">
        <v>41</v>
      </c>
      <c r="D22" s="746"/>
      <c r="E22" s="743"/>
      <c r="F22" s="744"/>
      <c r="G22" s="743"/>
      <c r="H22" s="749"/>
      <c r="I22" s="743"/>
      <c r="P22" s="32"/>
      <c r="Q22" s="32"/>
      <c r="R22" s="32"/>
      <c r="S22" s="32"/>
      <c r="T22" s="32"/>
      <c r="U22" s="32"/>
    </row>
    <row r="23" spans="1:21" x14ac:dyDescent="0.2">
      <c r="A23" s="739">
        <v>14</v>
      </c>
      <c r="B23" s="754" t="s">
        <v>42</v>
      </c>
      <c r="C23" s="755" t="s">
        <v>43</v>
      </c>
      <c r="D23" s="746"/>
      <c r="E23" s="743"/>
      <c r="F23" s="744"/>
      <c r="G23" s="743"/>
      <c r="H23" s="749"/>
      <c r="I23" s="743"/>
      <c r="P23" s="32"/>
      <c r="Q23" s="32"/>
      <c r="R23" s="32"/>
      <c r="S23" s="32"/>
      <c r="T23" s="32"/>
      <c r="U23" s="32"/>
    </row>
    <row r="24" spans="1:21" x14ac:dyDescent="0.2">
      <c r="A24" s="739">
        <v>15</v>
      </c>
      <c r="B24" s="747" t="s">
        <v>44</v>
      </c>
      <c r="C24" s="748" t="s">
        <v>45</v>
      </c>
      <c r="D24" s="746">
        <v>2732</v>
      </c>
      <c r="E24" s="743"/>
      <c r="F24" s="744"/>
      <c r="G24" s="743"/>
      <c r="H24" s="749"/>
      <c r="I24" s="743"/>
      <c r="P24" s="32"/>
      <c r="Q24" s="32"/>
      <c r="R24" s="32"/>
      <c r="S24" s="32"/>
      <c r="T24" s="32"/>
      <c r="U24" s="32"/>
    </row>
    <row r="25" spans="1:21" x14ac:dyDescent="0.2">
      <c r="A25" s="739">
        <v>16</v>
      </c>
      <c r="B25" s="747" t="s">
        <v>46</v>
      </c>
      <c r="C25" s="748" t="s">
        <v>47</v>
      </c>
      <c r="D25" s="746">
        <v>4410</v>
      </c>
      <c r="E25" s="743"/>
      <c r="F25" s="744"/>
      <c r="G25" s="743"/>
      <c r="H25" s="749"/>
      <c r="I25" s="743"/>
      <c r="P25" s="32"/>
      <c r="Q25" s="32"/>
      <c r="R25" s="32"/>
      <c r="S25" s="32"/>
      <c r="T25" s="32"/>
      <c r="U25" s="32"/>
    </row>
    <row r="26" spans="1:21" x14ac:dyDescent="0.2">
      <c r="A26" s="739">
        <v>17</v>
      </c>
      <c r="B26" s="747" t="s">
        <v>48</v>
      </c>
      <c r="C26" s="748" t="s">
        <v>49</v>
      </c>
      <c r="D26" s="746">
        <v>4445</v>
      </c>
      <c r="E26" s="743"/>
      <c r="F26" s="744"/>
      <c r="G26" s="743"/>
      <c r="H26" s="749"/>
      <c r="I26" s="743"/>
      <c r="P26" s="32"/>
      <c r="Q26" s="32"/>
      <c r="R26" s="32"/>
      <c r="S26" s="32"/>
      <c r="T26" s="32"/>
      <c r="U26" s="32"/>
    </row>
    <row r="27" spans="1:21" x14ac:dyDescent="0.2">
      <c r="A27" s="739">
        <v>18</v>
      </c>
      <c r="B27" s="747" t="s">
        <v>50</v>
      </c>
      <c r="C27" s="748" t="s">
        <v>51</v>
      </c>
      <c r="D27" s="746">
        <v>10090</v>
      </c>
      <c r="E27" s="743">
        <v>81</v>
      </c>
      <c r="F27" s="744"/>
      <c r="G27" s="743"/>
      <c r="H27" s="749">
        <v>113</v>
      </c>
      <c r="I27" s="743">
        <v>1240</v>
      </c>
      <c r="P27" s="32"/>
      <c r="Q27" s="32"/>
      <c r="R27" s="32"/>
      <c r="S27" s="32"/>
      <c r="T27" s="32"/>
      <c r="U27" s="32"/>
    </row>
    <row r="28" spans="1:21" x14ac:dyDescent="0.2">
      <c r="A28" s="739">
        <v>19</v>
      </c>
      <c r="B28" s="740" t="s">
        <v>52</v>
      </c>
      <c r="C28" s="741" t="s">
        <v>53</v>
      </c>
      <c r="D28" s="746">
        <v>1051</v>
      </c>
      <c r="E28" s="743"/>
      <c r="F28" s="744"/>
      <c r="G28" s="743"/>
      <c r="H28" s="749"/>
      <c r="I28" s="743"/>
      <c r="P28" s="32"/>
      <c r="Q28" s="32"/>
      <c r="R28" s="32"/>
      <c r="S28" s="32"/>
      <c r="T28" s="32"/>
      <c r="U28" s="32"/>
    </row>
    <row r="29" spans="1:21" x14ac:dyDescent="0.2">
      <c r="A29" s="739">
        <v>20</v>
      </c>
      <c r="B29" s="740" t="s">
        <v>54</v>
      </c>
      <c r="C29" s="741" t="s">
        <v>55</v>
      </c>
      <c r="D29" s="746">
        <v>1970</v>
      </c>
      <c r="E29" s="743"/>
      <c r="F29" s="744"/>
      <c r="G29" s="743"/>
      <c r="H29" s="749"/>
      <c r="I29" s="743"/>
      <c r="P29" s="32"/>
      <c r="Q29" s="32"/>
      <c r="R29" s="32"/>
      <c r="S29" s="32"/>
      <c r="T29" s="32"/>
      <c r="U29" s="32"/>
    </row>
    <row r="30" spans="1:21" x14ac:dyDescent="0.2">
      <c r="A30" s="739">
        <v>21</v>
      </c>
      <c r="B30" s="740" t="s">
        <v>56</v>
      </c>
      <c r="C30" s="741" t="s">
        <v>57</v>
      </c>
      <c r="D30" s="746">
        <v>6944</v>
      </c>
      <c r="E30" s="743"/>
      <c r="F30" s="744"/>
      <c r="G30" s="743"/>
      <c r="H30" s="749">
        <v>28</v>
      </c>
      <c r="I30" s="743">
        <v>310</v>
      </c>
      <c r="P30" s="32"/>
      <c r="Q30" s="32"/>
      <c r="R30" s="32"/>
      <c r="S30" s="32"/>
      <c r="T30" s="32"/>
      <c r="U30" s="32"/>
    </row>
    <row r="31" spans="1:21" x14ac:dyDescent="0.2">
      <c r="A31" s="739">
        <v>22</v>
      </c>
      <c r="B31" s="740" t="s">
        <v>58</v>
      </c>
      <c r="C31" s="741" t="s">
        <v>59</v>
      </c>
      <c r="D31" s="746">
        <f>2892+1500</f>
        <v>4392</v>
      </c>
      <c r="E31" s="743">
        <v>81</v>
      </c>
      <c r="F31" s="744"/>
      <c r="G31" s="743"/>
      <c r="H31" s="749"/>
      <c r="I31" s="743"/>
      <c r="P31" s="32"/>
      <c r="Q31" s="32"/>
      <c r="R31" s="32"/>
      <c r="S31" s="32"/>
      <c r="T31" s="32"/>
      <c r="U31" s="32"/>
    </row>
    <row r="32" spans="1:21" x14ac:dyDescent="0.2">
      <c r="A32" s="739">
        <v>23</v>
      </c>
      <c r="B32" s="747" t="s">
        <v>60</v>
      </c>
      <c r="C32" s="748" t="s">
        <v>61</v>
      </c>
      <c r="D32" s="746"/>
      <c r="E32" s="743"/>
      <c r="F32" s="744"/>
      <c r="G32" s="743"/>
      <c r="H32" s="745"/>
      <c r="I32" s="743"/>
      <c r="P32" s="32"/>
      <c r="Q32" s="32"/>
      <c r="R32" s="32"/>
      <c r="S32" s="32"/>
      <c r="T32" s="32"/>
      <c r="U32" s="32"/>
    </row>
    <row r="33" spans="1:21" x14ac:dyDescent="0.2">
      <c r="A33" s="739">
        <v>24</v>
      </c>
      <c r="B33" s="747" t="s">
        <v>62</v>
      </c>
      <c r="C33" s="748" t="s">
        <v>63</v>
      </c>
      <c r="D33" s="746"/>
      <c r="E33" s="743"/>
      <c r="F33" s="744"/>
      <c r="G33" s="743"/>
      <c r="H33" s="745"/>
      <c r="I33" s="743"/>
      <c r="P33" s="32"/>
      <c r="Q33" s="32"/>
      <c r="R33" s="32"/>
      <c r="S33" s="32"/>
      <c r="T33" s="32"/>
      <c r="U33" s="32"/>
    </row>
    <row r="34" spans="1:21" ht="25.5" x14ac:dyDescent="0.2">
      <c r="A34" s="739">
        <v>25</v>
      </c>
      <c r="B34" s="747" t="s">
        <v>64</v>
      </c>
      <c r="C34" s="748" t="s">
        <v>65</v>
      </c>
      <c r="D34" s="746"/>
      <c r="E34" s="743"/>
      <c r="F34" s="744"/>
      <c r="G34" s="743"/>
      <c r="H34" s="745"/>
      <c r="I34" s="743"/>
      <c r="P34" s="32"/>
      <c r="Q34" s="32"/>
      <c r="R34" s="32"/>
      <c r="S34" s="32"/>
      <c r="T34" s="32"/>
      <c r="U34" s="32"/>
    </row>
    <row r="35" spans="1:21" x14ac:dyDescent="0.2">
      <c r="A35" s="739">
        <v>26</v>
      </c>
      <c r="B35" s="740" t="s">
        <v>66</v>
      </c>
      <c r="C35" s="751" t="s">
        <v>67</v>
      </c>
      <c r="D35" s="746">
        <f>0+3800</f>
        <v>3800</v>
      </c>
      <c r="E35" s="743"/>
      <c r="F35" s="744"/>
      <c r="G35" s="743"/>
      <c r="H35" s="745"/>
      <c r="I35" s="743"/>
      <c r="P35" s="32"/>
      <c r="Q35" s="32"/>
      <c r="R35" s="32"/>
      <c r="S35" s="32"/>
      <c r="T35" s="32"/>
      <c r="U35" s="32"/>
    </row>
    <row r="36" spans="1:21" x14ac:dyDescent="0.2">
      <c r="A36" s="739">
        <v>27</v>
      </c>
      <c r="B36" s="747" t="s">
        <v>68</v>
      </c>
      <c r="C36" s="748" t="s">
        <v>69</v>
      </c>
      <c r="D36" s="746">
        <f>6514-3800</f>
        <v>2714</v>
      </c>
      <c r="E36" s="743"/>
      <c r="F36" s="744"/>
      <c r="G36" s="743"/>
      <c r="H36" s="745"/>
      <c r="I36" s="743"/>
      <c r="P36" s="32"/>
      <c r="Q36" s="32"/>
      <c r="R36" s="32"/>
      <c r="S36" s="32"/>
      <c r="T36" s="32"/>
      <c r="U36" s="32"/>
    </row>
    <row r="37" spans="1:21" x14ac:dyDescent="0.2">
      <c r="A37" s="739">
        <v>28</v>
      </c>
      <c r="B37" s="747" t="s">
        <v>70</v>
      </c>
      <c r="C37" s="748" t="s">
        <v>71</v>
      </c>
      <c r="D37" s="746"/>
      <c r="E37" s="743"/>
      <c r="F37" s="744"/>
      <c r="G37" s="743"/>
      <c r="H37" s="745"/>
      <c r="I37" s="743"/>
      <c r="P37" s="32"/>
      <c r="Q37" s="32"/>
      <c r="R37" s="32"/>
      <c r="S37" s="32"/>
      <c r="T37" s="32"/>
      <c r="U37" s="32"/>
    </row>
    <row r="38" spans="1:21" x14ac:dyDescent="0.2">
      <c r="A38" s="739">
        <v>29</v>
      </c>
      <c r="B38" s="740" t="s">
        <v>72</v>
      </c>
      <c r="C38" s="741" t="s">
        <v>73</v>
      </c>
      <c r="D38" s="746"/>
      <c r="E38" s="743"/>
      <c r="F38" s="744"/>
      <c r="G38" s="743"/>
      <c r="H38" s="745"/>
      <c r="I38" s="743"/>
      <c r="P38" s="32"/>
      <c r="Q38" s="32"/>
      <c r="R38" s="32"/>
      <c r="S38" s="32"/>
      <c r="T38" s="32"/>
      <c r="U38" s="32"/>
    </row>
    <row r="39" spans="1:21" ht="38.25" x14ac:dyDescent="0.2">
      <c r="A39" s="739">
        <v>30</v>
      </c>
      <c r="B39" s="740" t="s">
        <v>74</v>
      </c>
      <c r="C39" s="751" t="s">
        <v>377</v>
      </c>
      <c r="D39" s="746"/>
      <c r="E39" s="743"/>
      <c r="F39" s="744"/>
      <c r="G39" s="743"/>
      <c r="H39" s="745"/>
      <c r="I39" s="743"/>
      <c r="P39" s="32"/>
      <c r="Q39" s="32"/>
      <c r="R39" s="32"/>
      <c r="S39" s="32"/>
      <c r="T39" s="32"/>
      <c r="U39" s="32"/>
    </row>
    <row r="40" spans="1:21" ht="25.5" x14ac:dyDescent="0.2">
      <c r="A40" s="739">
        <v>31</v>
      </c>
      <c r="B40" s="740" t="s">
        <v>75</v>
      </c>
      <c r="C40" s="741" t="s">
        <v>76</v>
      </c>
      <c r="D40" s="746"/>
      <c r="E40" s="743"/>
      <c r="F40" s="744"/>
      <c r="G40" s="743"/>
      <c r="H40" s="745"/>
      <c r="I40" s="743"/>
      <c r="P40" s="32"/>
      <c r="Q40" s="32"/>
      <c r="R40" s="32"/>
      <c r="S40" s="32"/>
      <c r="T40" s="32"/>
      <c r="U40" s="32"/>
    </row>
    <row r="41" spans="1:21" x14ac:dyDescent="0.2">
      <c r="A41" s="739">
        <v>32</v>
      </c>
      <c r="B41" s="747" t="s">
        <v>77</v>
      </c>
      <c r="C41" s="748" t="s">
        <v>78</v>
      </c>
      <c r="D41" s="746">
        <f>5382+943</f>
        <v>6325</v>
      </c>
      <c r="E41" s="743">
        <v>81</v>
      </c>
      <c r="F41" s="744"/>
      <c r="G41" s="743"/>
      <c r="H41" s="745"/>
      <c r="I41" s="743"/>
      <c r="P41" s="32"/>
      <c r="Q41" s="32"/>
      <c r="R41" s="32"/>
      <c r="S41" s="32"/>
      <c r="T41" s="32"/>
      <c r="U41" s="32"/>
    </row>
    <row r="42" spans="1:21" x14ac:dyDescent="0.2">
      <c r="A42" s="739">
        <v>33</v>
      </c>
      <c r="B42" s="740" t="s">
        <v>79</v>
      </c>
      <c r="C42" s="741" t="s">
        <v>80</v>
      </c>
      <c r="D42" s="746"/>
      <c r="E42" s="743"/>
      <c r="F42" s="744"/>
      <c r="G42" s="743"/>
      <c r="H42" s="745"/>
      <c r="I42" s="743"/>
      <c r="P42" s="32"/>
      <c r="Q42" s="32"/>
      <c r="R42" s="32"/>
      <c r="S42" s="32"/>
      <c r="T42" s="32"/>
      <c r="U42" s="32"/>
    </row>
    <row r="43" spans="1:21" x14ac:dyDescent="0.2">
      <c r="A43" s="739">
        <v>34</v>
      </c>
      <c r="B43" s="750" t="s">
        <v>81</v>
      </c>
      <c r="C43" s="751" t="s">
        <v>82</v>
      </c>
      <c r="D43" s="746">
        <v>2843</v>
      </c>
      <c r="E43" s="743"/>
      <c r="F43" s="744"/>
      <c r="G43" s="743"/>
      <c r="H43" s="745"/>
      <c r="I43" s="743"/>
      <c r="P43" s="32"/>
      <c r="Q43" s="32"/>
      <c r="R43" s="32"/>
      <c r="S43" s="32"/>
      <c r="T43" s="32"/>
      <c r="U43" s="32"/>
    </row>
    <row r="44" spans="1:21" x14ac:dyDescent="0.2">
      <c r="A44" s="739">
        <v>35</v>
      </c>
      <c r="B44" s="740" t="s">
        <v>83</v>
      </c>
      <c r="C44" s="741" t="s">
        <v>84</v>
      </c>
      <c r="D44" s="746">
        <v>7988</v>
      </c>
      <c r="E44" s="743"/>
      <c r="F44" s="744"/>
      <c r="G44" s="743"/>
      <c r="H44" s="745"/>
      <c r="I44" s="743"/>
      <c r="P44" s="32"/>
      <c r="Q44" s="32"/>
      <c r="R44" s="32"/>
      <c r="S44" s="32"/>
      <c r="T44" s="32"/>
      <c r="U44" s="32"/>
    </row>
    <row r="45" spans="1:21" x14ac:dyDescent="0.2">
      <c r="A45" s="739">
        <v>36</v>
      </c>
      <c r="B45" s="740" t="s">
        <v>85</v>
      </c>
      <c r="C45" s="741" t="s">
        <v>86</v>
      </c>
      <c r="D45" s="746">
        <v>2039</v>
      </c>
      <c r="E45" s="743"/>
      <c r="F45" s="744"/>
      <c r="G45" s="743"/>
      <c r="H45" s="745"/>
      <c r="I45" s="743"/>
      <c r="P45" s="32"/>
      <c r="Q45" s="32"/>
      <c r="R45" s="32"/>
      <c r="S45" s="32"/>
      <c r="T45" s="32"/>
      <c r="U45" s="32"/>
    </row>
    <row r="46" spans="1:21" x14ac:dyDescent="0.2">
      <c r="A46" s="739">
        <v>37</v>
      </c>
      <c r="B46" s="747" t="s">
        <v>87</v>
      </c>
      <c r="C46" s="748" t="s">
        <v>88</v>
      </c>
      <c r="D46" s="746">
        <f>5677+292</f>
        <v>5969</v>
      </c>
      <c r="E46" s="743"/>
      <c r="F46" s="744"/>
      <c r="G46" s="743"/>
      <c r="H46" s="745"/>
      <c r="I46" s="743"/>
      <c r="P46" s="32"/>
      <c r="Q46" s="32"/>
      <c r="R46" s="32"/>
      <c r="S46" s="32"/>
      <c r="T46" s="32"/>
      <c r="U46" s="32"/>
    </row>
    <row r="47" spans="1:21" x14ac:dyDescent="0.2">
      <c r="A47" s="739">
        <v>38</v>
      </c>
      <c r="B47" s="740" t="s">
        <v>89</v>
      </c>
      <c r="C47" s="741" t="s">
        <v>90</v>
      </c>
      <c r="D47" s="746">
        <v>2496</v>
      </c>
      <c r="E47" s="743"/>
      <c r="F47" s="744"/>
      <c r="G47" s="743"/>
      <c r="H47" s="745"/>
      <c r="I47" s="743"/>
      <c r="P47" s="32"/>
      <c r="Q47" s="32"/>
      <c r="R47" s="32"/>
      <c r="S47" s="32"/>
      <c r="T47" s="32"/>
      <c r="U47" s="32"/>
    </row>
    <row r="48" spans="1:21" x14ac:dyDescent="0.2">
      <c r="A48" s="739">
        <v>39</v>
      </c>
      <c r="B48" s="740" t="s">
        <v>91</v>
      </c>
      <c r="C48" s="741" t="s">
        <v>92</v>
      </c>
      <c r="D48" s="746">
        <v>1268</v>
      </c>
      <c r="E48" s="743"/>
      <c r="F48" s="744"/>
      <c r="G48" s="743"/>
      <c r="H48" s="745"/>
      <c r="I48" s="743"/>
      <c r="P48" s="32"/>
      <c r="Q48" s="32"/>
      <c r="R48" s="32"/>
      <c r="S48" s="32"/>
      <c r="T48" s="32"/>
      <c r="U48" s="32"/>
    </row>
    <row r="49" spans="1:21" x14ac:dyDescent="0.2">
      <c r="A49" s="739">
        <v>40</v>
      </c>
      <c r="B49" s="756" t="s">
        <v>93</v>
      </c>
      <c r="C49" s="757" t="s">
        <v>94</v>
      </c>
      <c r="D49" s="746">
        <v>2226</v>
      </c>
      <c r="E49" s="743"/>
      <c r="F49" s="744"/>
      <c r="G49" s="743"/>
      <c r="H49" s="745"/>
      <c r="I49" s="743"/>
      <c r="P49" s="32"/>
      <c r="Q49" s="32"/>
      <c r="R49" s="32"/>
      <c r="S49" s="32"/>
      <c r="T49" s="32"/>
      <c r="U49" s="32"/>
    </row>
    <row r="50" spans="1:21" x14ac:dyDescent="0.2">
      <c r="A50" s="739">
        <v>41</v>
      </c>
      <c r="B50" s="740" t="s">
        <v>95</v>
      </c>
      <c r="C50" s="741" t="s">
        <v>96</v>
      </c>
      <c r="D50" s="746">
        <v>2042</v>
      </c>
      <c r="E50" s="743"/>
      <c r="F50" s="744"/>
      <c r="G50" s="743"/>
      <c r="H50" s="745"/>
      <c r="I50" s="743"/>
      <c r="P50" s="32"/>
      <c r="Q50" s="32"/>
      <c r="R50" s="32"/>
      <c r="S50" s="32"/>
      <c r="T50" s="32"/>
      <c r="U50" s="32"/>
    </row>
    <row r="51" spans="1:21" x14ac:dyDescent="0.2">
      <c r="A51" s="739">
        <v>42</v>
      </c>
      <c r="B51" s="750" t="s">
        <v>97</v>
      </c>
      <c r="C51" s="751" t="s">
        <v>98</v>
      </c>
      <c r="D51" s="746"/>
      <c r="E51" s="743"/>
      <c r="F51" s="744"/>
      <c r="G51" s="743"/>
      <c r="H51" s="745"/>
      <c r="I51" s="743"/>
      <c r="P51" s="32"/>
      <c r="Q51" s="32"/>
      <c r="R51" s="32"/>
      <c r="S51" s="32"/>
      <c r="T51" s="32"/>
      <c r="U51" s="32"/>
    </row>
    <row r="52" spans="1:21" x14ac:dyDescent="0.2">
      <c r="A52" s="739">
        <v>43</v>
      </c>
      <c r="B52" s="747" t="s">
        <v>99</v>
      </c>
      <c r="C52" s="748" t="s">
        <v>100</v>
      </c>
      <c r="D52" s="746">
        <v>8474</v>
      </c>
      <c r="E52" s="743">
        <v>81</v>
      </c>
      <c r="F52" s="744"/>
      <c r="G52" s="743"/>
      <c r="H52" s="745"/>
      <c r="I52" s="743"/>
      <c r="P52" s="32"/>
      <c r="Q52" s="32"/>
      <c r="R52" s="32"/>
      <c r="S52" s="32"/>
      <c r="T52" s="32"/>
      <c r="U52" s="32"/>
    </row>
    <row r="53" spans="1:21" x14ac:dyDescent="0.2">
      <c r="A53" s="739">
        <v>44</v>
      </c>
      <c r="B53" s="740" t="s">
        <v>101</v>
      </c>
      <c r="C53" s="741" t="s">
        <v>102</v>
      </c>
      <c r="D53" s="746">
        <v>2678</v>
      </c>
      <c r="E53" s="743"/>
      <c r="F53" s="744"/>
      <c r="G53" s="743"/>
      <c r="H53" s="745"/>
      <c r="I53" s="743"/>
      <c r="P53" s="32"/>
      <c r="Q53" s="32"/>
      <c r="R53" s="32"/>
      <c r="S53" s="32"/>
      <c r="T53" s="32"/>
      <c r="U53" s="32"/>
    </row>
    <row r="54" spans="1:21" ht="11.25" customHeight="1" x14ac:dyDescent="0.2">
      <c r="A54" s="739">
        <v>45</v>
      </c>
      <c r="B54" s="747" t="s">
        <v>103</v>
      </c>
      <c r="C54" s="748" t="s">
        <v>104</v>
      </c>
      <c r="D54" s="746">
        <v>7412</v>
      </c>
      <c r="E54" s="743"/>
      <c r="F54" s="744"/>
      <c r="G54" s="743"/>
      <c r="H54" s="749">
        <v>56</v>
      </c>
      <c r="I54" s="743">
        <v>620</v>
      </c>
      <c r="P54" s="32"/>
      <c r="Q54" s="32"/>
      <c r="R54" s="32"/>
      <c r="S54" s="32"/>
      <c r="T54" s="32"/>
      <c r="U54" s="32"/>
    </row>
    <row r="55" spans="1:21" x14ac:dyDescent="0.2">
      <c r="A55" s="739">
        <v>46</v>
      </c>
      <c r="B55" s="740" t="s">
        <v>105</v>
      </c>
      <c r="C55" s="741" t="s">
        <v>106</v>
      </c>
      <c r="D55" s="746">
        <v>2271</v>
      </c>
      <c r="E55" s="743"/>
      <c r="F55" s="744"/>
      <c r="G55" s="743"/>
      <c r="H55" s="745"/>
      <c r="I55" s="743"/>
      <c r="P55" s="32"/>
      <c r="Q55" s="32"/>
      <c r="R55" s="32"/>
      <c r="S55" s="32"/>
      <c r="T55" s="32"/>
      <c r="U55" s="32"/>
    </row>
    <row r="56" spans="1:21" x14ac:dyDescent="0.2">
      <c r="A56" s="739">
        <v>47</v>
      </c>
      <c r="B56" s="740" t="s">
        <v>107</v>
      </c>
      <c r="C56" s="741" t="s">
        <v>108</v>
      </c>
      <c r="D56" s="746">
        <v>2491</v>
      </c>
      <c r="E56" s="743"/>
      <c r="F56" s="744"/>
      <c r="G56" s="743"/>
      <c r="H56" s="745"/>
      <c r="I56" s="743"/>
      <c r="P56" s="32"/>
      <c r="Q56" s="32"/>
      <c r="R56" s="32"/>
      <c r="S56" s="32"/>
      <c r="T56" s="32"/>
      <c r="U56" s="32"/>
    </row>
    <row r="57" spans="1:21" x14ac:dyDescent="0.2">
      <c r="A57" s="739">
        <v>48</v>
      </c>
      <c r="B57" s="747" t="s">
        <v>109</v>
      </c>
      <c r="C57" s="748" t="s">
        <v>110</v>
      </c>
      <c r="D57" s="746">
        <v>4282</v>
      </c>
      <c r="E57" s="743"/>
      <c r="F57" s="744"/>
      <c r="G57" s="743"/>
      <c r="H57" s="745"/>
      <c r="I57" s="743"/>
      <c r="P57" s="32"/>
      <c r="Q57" s="32"/>
      <c r="R57" s="32"/>
      <c r="S57" s="32"/>
      <c r="T57" s="32"/>
      <c r="U57" s="32"/>
    </row>
    <row r="58" spans="1:21" x14ac:dyDescent="0.2">
      <c r="A58" s="739">
        <v>49</v>
      </c>
      <c r="B58" s="747" t="s">
        <v>111</v>
      </c>
      <c r="C58" s="748" t="s">
        <v>112</v>
      </c>
      <c r="D58" s="746">
        <v>1260</v>
      </c>
      <c r="E58" s="743"/>
      <c r="F58" s="744"/>
      <c r="G58" s="743"/>
      <c r="H58" s="745"/>
      <c r="I58" s="743"/>
      <c r="P58" s="32"/>
      <c r="Q58" s="32"/>
      <c r="R58" s="32"/>
      <c r="S58" s="32"/>
      <c r="T58" s="32"/>
      <c r="U58" s="32"/>
    </row>
    <row r="59" spans="1:21" x14ac:dyDescent="0.2">
      <c r="A59" s="739">
        <v>50</v>
      </c>
      <c r="B59" s="740" t="s">
        <v>113</v>
      </c>
      <c r="C59" s="741" t="s">
        <v>114</v>
      </c>
      <c r="D59" s="746">
        <v>2499</v>
      </c>
      <c r="E59" s="743"/>
      <c r="F59" s="744"/>
      <c r="G59" s="743"/>
      <c r="H59" s="745"/>
      <c r="I59" s="743"/>
      <c r="P59" s="32"/>
      <c r="Q59" s="32"/>
      <c r="R59" s="32"/>
      <c r="S59" s="32"/>
      <c r="T59" s="32"/>
      <c r="U59" s="32"/>
    </row>
    <row r="60" spans="1:21" x14ac:dyDescent="0.2">
      <c r="A60" s="739">
        <v>51</v>
      </c>
      <c r="B60" s="747" t="s">
        <v>115</v>
      </c>
      <c r="C60" s="748" t="s">
        <v>116</v>
      </c>
      <c r="D60" s="746">
        <v>2776</v>
      </c>
      <c r="E60" s="743"/>
      <c r="F60" s="744"/>
      <c r="G60" s="743"/>
      <c r="H60" s="745"/>
      <c r="I60" s="743"/>
      <c r="P60" s="32"/>
      <c r="Q60" s="32"/>
      <c r="R60" s="32"/>
      <c r="S60" s="32"/>
      <c r="T60" s="32"/>
      <c r="U60" s="32"/>
    </row>
    <row r="61" spans="1:21" x14ac:dyDescent="0.2">
      <c r="A61" s="739">
        <v>52</v>
      </c>
      <c r="B61" s="740" t="s">
        <v>117</v>
      </c>
      <c r="C61" s="741" t="s">
        <v>118</v>
      </c>
      <c r="D61" s="746">
        <v>10783</v>
      </c>
      <c r="E61" s="743"/>
      <c r="F61" s="744"/>
      <c r="G61" s="743"/>
      <c r="H61" s="745"/>
      <c r="I61" s="743"/>
      <c r="P61" s="32"/>
      <c r="Q61" s="32"/>
      <c r="R61" s="32"/>
      <c r="S61" s="32"/>
      <c r="T61" s="32"/>
      <c r="U61" s="32"/>
    </row>
    <row r="62" spans="1:21" x14ac:dyDescent="0.2">
      <c r="A62" s="739">
        <v>53</v>
      </c>
      <c r="B62" s="747" t="s">
        <v>119</v>
      </c>
      <c r="C62" s="748" t="s">
        <v>120</v>
      </c>
      <c r="D62" s="746">
        <v>2097</v>
      </c>
      <c r="E62" s="743"/>
      <c r="F62" s="744"/>
      <c r="G62" s="743"/>
      <c r="H62" s="745"/>
      <c r="I62" s="743"/>
      <c r="P62" s="32"/>
      <c r="Q62" s="32"/>
      <c r="R62" s="32"/>
      <c r="S62" s="32"/>
      <c r="T62" s="32"/>
      <c r="U62" s="32"/>
    </row>
    <row r="63" spans="1:21" x14ac:dyDescent="0.2">
      <c r="A63" s="739">
        <v>54</v>
      </c>
      <c r="B63" s="747" t="s">
        <v>121</v>
      </c>
      <c r="C63" s="748" t="s">
        <v>122</v>
      </c>
      <c r="D63" s="758"/>
      <c r="E63" s="743"/>
      <c r="F63" s="744"/>
      <c r="G63" s="743"/>
      <c r="H63" s="745"/>
      <c r="I63" s="743"/>
      <c r="P63" s="32"/>
      <c r="Q63" s="32"/>
      <c r="R63" s="32"/>
      <c r="S63" s="32"/>
      <c r="T63" s="32"/>
      <c r="U63" s="32"/>
    </row>
    <row r="64" spans="1:21" x14ac:dyDescent="0.2">
      <c r="A64" s="739">
        <v>55</v>
      </c>
      <c r="B64" s="747" t="s">
        <v>123</v>
      </c>
      <c r="C64" s="748" t="s">
        <v>124</v>
      </c>
      <c r="D64" s="758"/>
      <c r="E64" s="743"/>
      <c r="F64" s="744"/>
      <c r="G64" s="743"/>
      <c r="H64" s="745"/>
      <c r="I64" s="743"/>
      <c r="P64" s="32"/>
      <c r="Q64" s="32"/>
      <c r="R64" s="32"/>
      <c r="S64" s="32"/>
      <c r="T64" s="32"/>
      <c r="U64" s="32"/>
    </row>
    <row r="65" spans="1:21" ht="25.5" x14ac:dyDescent="0.2">
      <c r="A65" s="739">
        <v>56</v>
      </c>
      <c r="B65" s="759" t="s">
        <v>125</v>
      </c>
      <c r="C65" s="760" t="s">
        <v>126</v>
      </c>
      <c r="D65" s="758"/>
      <c r="E65" s="743"/>
      <c r="F65" s="744"/>
      <c r="G65" s="743"/>
      <c r="H65" s="745"/>
      <c r="I65" s="743"/>
      <c r="P65" s="32"/>
      <c r="Q65" s="32"/>
      <c r="R65" s="32"/>
      <c r="S65" s="32"/>
      <c r="T65" s="32"/>
      <c r="U65" s="32"/>
    </row>
    <row r="66" spans="1:21" ht="25.5" x14ac:dyDescent="0.2">
      <c r="A66" s="739">
        <v>57</v>
      </c>
      <c r="B66" s="747" t="s">
        <v>127</v>
      </c>
      <c r="C66" s="748" t="s">
        <v>128</v>
      </c>
      <c r="D66" s="758"/>
      <c r="E66" s="743"/>
      <c r="F66" s="744"/>
      <c r="G66" s="743"/>
      <c r="H66" s="745"/>
      <c r="I66" s="743"/>
      <c r="P66" s="32"/>
      <c r="Q66" s="32"/>
      <c r="R66" s="32"/>
      <c r="S66" s="32"/>
      <c r="T66" s="32"/>
      <c r="U66" s="32"/>
    </row>
    <row r="67" spans="1:21" ht="25.5" x14ac:dyDescent="0.2">
      <c r="A67" s="739">
        <v>58</v>
      </c>
      <c r="B67" s="747" t="s">
        <v>129</v>
      </c>
      <c r="C67" s="748" t="s">
        <v>460</v>
      </c>
      <c r="D67" s="758"/>
      <c r="E67" s="743"/>
      <c r="F67" s="744"/>
      <c r="G67" s="743"/>
      <c r="H67" s="745"/>
      <c r="I67" s="743"/>
      <c r="P67" s="32"/>
      <c r="Q67" s="32"/>
      <c r="R67" s="32"/>
      <c r="S67" s="32"/>
      <c r="T67" s="32"/>
      <c r="U67" s="32"/>
    </row>
    <row r="68" spans="1:21" ht="25.5" x14ac:dyDescent="0.2">
      <c r="A68" s="739">
        <v>59</v>
      </c>
      <c r="B68" s="747" t="s">
        <v>131</v>
      </c>
      <c r="C68" s="748" t="s">
        <v>132</v>
      </c>
      <c r="D68" s="758"/>
      <c r="E68" s="743"/>
      <c r="F68" s="744"/>
      <c r="G68" s="743"/>
      <c r="H68" s="745"/>
      <c r="I68" s="743"/>
      <c r="P68" s="32"/>
      <c r="Q68" s="32"/>
      <c r="R68" s="32"/>
      <c r="S68" s="32"/>
      <c r="T68" s="32"/>
      <c r="U68" s="32"/>
    </row>
    <row r="69" spans="1:21" ht="25.5" x14ac:dyDescent="0.2">
      <c r="A69" s="739">
        <v>60</v>
      </c>
      <c r="B69" s="740" t="s">
        <v>133</v>
      </c>
      <c r="C69" s="748" t="s">
        <v>299</v>
      </c>
      <c r="D69" s="758"/>
      <c r="E69" s="743"/>
      <c r="F69" s="744"/>
      <c r="G69" s="743"/>
      <c r="H69" s="745"/>
      <c r="I69" s="743"/>
      <c r="P69" s="32"/>
      <c r="Q69" s="32"/>
      <c r="R69" s="32"/>
      <c r="S69" s="32"/>
      <c r="T69" s="32"/>
      <c r="U69" s="32"/>
    </row>
    <row r="70" spans="1:21" ht="25.5" x14ac:dyDescent="0.2">
      <c r="A70" s="739">
        <v>61</v>
      </c>
      <c r="B70" s="750" t="s">
        <v>135</v>
      </c>
      <c r="C70" s="748" t="s">
        <v>462</v>
      </c>
      <c r="D70" s="758"/>
      <c r="E70" s="743"/>
      <c r="F70" s="744"/>
      <c r="G70" s="743"/>
      <c r="H70" s="745"/>
      <c r="I70" s="743"/>
      <c r="P70" s="32"/>
      <c r="Q70" s="32"/>
      <c r="R70" s="32"/>
      <c r="S70" s="32"/>
      <c r="T70" s="32"/>
      <c r="U70" s="32"/>
    </row>
    <row r="71" spans="1:21" ht="38.25" x14ac:dyDescent="0.2">
      <c r="A71" s="739">
        <v>62</v>
      </c>
      <c r="B71" s="740" t="s">
        <v>137</v>
      </c>
      <c r="C71" s="748" t="s">
        <v>645</v>
      </c>
      <c r="D71" s="758"/>
      <c r="E71" s="743"/>
      <c r="F71" s="744"/>
      <c r="G71" s="743"/>
      <c r="H71" s="745"/>
      <c r="I71" s="743"/>
      <c r="P71" s="32"/>
      <c r="Q71" s="32"/>
      <c r="R71" s="32"/>
      <c r="S71" s="32"/>
      <c r="T71" s="32"/>
      <c r="U71" s="32"/>
    </row>
    <row r="72" spans="1:21" ht="38.25" x14ac:dyDescent="0.2">
      <c r="A72" s="739">
        <v>63</v>
      </c>
      <c r="B72" s="747" t="s">
        <v>139</v>
      </c>
      <c r="C72" s="748" t="s">
        <v>646</v>
      </c>
      <c r="D72" s="758"/>
      <c r="E72" s="743"/>
      <c r="F72" s="744"/>
      <c r="G72" s="743"/>
      <c r="H72" s="745"/>
      <c r="I72" s="743"/>
      <c r="P72" s="32"/>
      <c r="Q72" s="32"/>
      <c r="R72" s="32"/>
      <c r="S72" s="32"/>
      <c r="T72" s="32"/>
      <c r="U72" s="32"/>
    </row>
    <row r="73" spans="1:21" x14ac:dyDescent="0.2">
      <c r="A73" s="739">
        <v>64</v>
      </c>
      <c r="B73" s="740" t="s">
        <v>141</v>
      </c>
      <c r="C73" s="748" t="s">
        <v>457</v>
      </c>
      <c r="D73" s="758"/>
      <c r="E73" s="743"/>
      <c r="F73" s="744"/>
      <c r="G73" s="743"/>
      <c r="H73" s="745"/>
      <c r="I73" s="743"/>
      <c r="P73" s="32"/>
      <c r="Q73" s="32"/>
      <c r="R73" s="32"/>
      <c r="S73" s="32"/>
      <c r="T73" s="32"/>
      <c r="U73" s="32"/>
    </row>
    <row r="74" spans="1:21" x14ac:dyDescent="0.2">
      <c r="A74" s="739">
        <v>65</v>
      </c>
      <c r="B74" s="740" t="s">
        <v>143</v>
      </c>
      <c r="C74" s="748" t="s">
        <v>144</v>
      </c>
      <c r="D74" s="758"/>
      <c r="E74" s="743"/>
      <c r="F74" s="744"/>
      <c r="G74" s="743"/>
      <c r="H74" s="745"/>
      <c r="I74" s="743"/>
      <c r="P74" s="32"/>
      <c r="Q74" s="32"/>
      <c r="R74" s="32"/>
      <c r="S74" s="32"/>
      <c r="T74" s="32"/>
      <c r="U74" s="32"/>
    </row>
    <row r="75" spans="1:21" x14ac:dyDescent="0.2">
      <c r="A75" s="739">
        <v>66</v>
      </c>
      <c r="B75" s="740" t="s">
        <v>145</v>
      </c>
      <c r="C75" s="748" t="s">
        <v>458</v>
      </c>
      <c r="D75" s="758"/>
      <c r="E75" s="743"/>
      <c r="F75" s="744"/>
      <c r="G75" s="743"/>
      <c r="H75" s="745"/>
      <c r="I75" s="743"/>
      <c r="P75" s="32"/>
      <c r="Q75" s="32"/>
      <c r="R75" s="32"/>
      <c r="S75" s="32"/>
      <c r="T75" s="32"/>
      <c r="U75" s="32"/>
    </row>
    <row r="76" spans="1:21" ht="25.5" x14ac:dyDescent="0.2">
      <c r="A76" s="739">
        <v>67</v>
      </c>
      <c r="B76" s="740" t="s">
        <v>147</v>
      </c>
      <c r="C76" s="748" t="s">
        <v>647</v>
      </c>
      <c r="D76" s="758"/>
      <c r="E76" s="743"/>
      <c r="F76" s="744"/>
      <c r="G76" s="743"/>
      <c r="H76" s="745"/>
      <c r="I76" s="743"/>
      <c r="P76" s="32"/>
      <c r="Q76" s="32"/>
      <c r="R76" s="32"/>
      <c r="S76" s="32"/>
      <c r="T76" s="32"/>
      <c r="U76" s="32"/>
    </row>
    <row r="77" spans="1:21" ht="25.5" x14ac:dyDescent="0.2">
      <c r="A77" s="739">
        <v>68</v>
      </c>
      <c r="B77" s="740" t="s">
        <v>149</v>
      </c>
      <c r="C77" s="748" t="s">
        <v>464</v>
      </c>
      <c r="D77" s="758"/>
      <c r="E77" s="743"/>
      <c r="F77" s="744"/>
      <c r="G77" s="743"/>
      <c r="H77" s="745"/>
      <c r="I77" s="743"/>
      <c r="P77" s="32"/>
      <c r="Q77" s="32"/>
      <c r="R77" s="32"/>
      <c r="S77" s="32"/>
      <c r="T77" s="32"/>
      <c r="U77" s="32"/>
    </row>
    <row r="78" spans="1:21" ht="25.5" x14ac:dyDescent="0.2">
      <c r="A78" s="739">
        <v>69</v>
      </c>
      <c r="B78" s="740" t="s">
        <v>151</v>
      </c>
      <c r="C78" s="748" t="s">
        <v>648</v>
      </c>
      <c r="D78" s="758"/>
      <c r="E78" s="743"/>
      <c r="F78" s="744"/>
      <c r="G78" s="743"/>
      <c r="H78" s="745"/>
      <c r="I78" s="743"/>
      <c r="P78" s="32"/>
      <c r="Q78" s="32"/>
      <c r="R78" s="32"/>
      <c r="S78" s="32"/>
      <c r="T78" s="32"/>
      <c r="U78" s="32"/>
    </row>
    <row r="79" spans="1:21" ht="25.5" x14ac:dyDescent="0.2">
      <c r="A79" s="739">
        <v>70</v>
      </c>
      <c r="B79" s="740" t="s">
        <v>153</v>
      </c>
      <c r="C79" s="748" t="s">
        <v>649</v>
      </c>
      <c r="D79" s="758"/>
      <c r="E79" s="743"/>
      <c r="F79" s="744"/>
      <c r="G79" s="743"/>
      <c r="H79" s="745"/>
      <c r="I79" s="743"/>
      <c r="P79" s="32"/>
      <c r="Q79" s="32"/>
      <c r="R79" s="32"/>
      <c r="S79" s="32"/>
      <c r="T79" s="32"/>
      <c r="U79" s="32"/>
    </row>
    <row r="80" spans="1:21" ht="25.5" x14ac:dyDescent="0.2">
      <c r="A80" s="739">
        <v>71</v>
      </c>
      <c r="B80" s="747" t="s">
        <v>155</v>
      </c>
      <c r="C80" s="748" t="s">
        <v>650</v>
      </c>
      <c r="D80" s="758"/>
      <c r="E80" s="743"/>
      <c r="F80" s="744"/>
      <c r="G80" s="743"/>
      <c r="H80" s="745"/>
      <c r="I80" s="743"/>
      <c r="P80" s="32"/>
      <c r="Q80" s="32"/>
      <c r="R80" s="32"/>
      <c r="S80" s="32"/>
      <c r="T80" s="32"/>
      <c r="U80" s="32"/>
    </row>
    <row r="81" spans="1:21" ht="25.5" x14ac:dyDescent="0.2">
      <c r="A81" s="739">
        <v>72</v>
      </c>
      <c r="B81" s="740" t="s">
        <v>157</v>
      </c>
      <c r="C81" s="741" t="s">
        <v>651</v>
      </c>
      <c r="D81" s="758"/>
      <c r="E81" s="743"/>
      <c r="F81" s="744"/>
      <c r="G81" s="743"/>
      <c r="H81" s="745"/>
      <c r="I81" s="743"/>
      <c r="P81" s="32"/>
      <c r="Q81" s="32"/>
      <c r="R81" s="32"/>
      <c r="S81" s="32"/>
      <c r="T81" s="32"/>
      <c r="U81" s="32"/>
    </row>
    <row r="82" spans="1:21" ht="25.5" x14ac:dyDescent="0.2">
      <c r="A82" s="739">
        <v>73</v>
      </c>
      <c r="B82" s="747" t="s">
        <v>159</v>
      </c>
      <c r="C82" s="748" t="s">
        <v>652</v>
      </c>
      <c r="D82" s="758"/>
      <c r="E82" s="743"/>
      <c r="F82" s="744"/>
      <c r="G82" s="743"/>
      <c r="H82" s="745"/>
      <c r="I82" s="743"/>
      <c r="P82" s="32"/>
      <c r="Q82" s="32"/>
      <c r="R82" s="32"/>
      <c r="S82" s="32"/>
      <c r="T82" s="32"/>
      <c r="U82" s="32"/>
    </row>
    <row r="83" spans="1:21" ht="25.5" x14ac:dyDescent="0.2">
      <c r="A83" s="739">
        <v>74</v>
      </c>
      <c r="B83" s="740" t="s">
        <v>161</v>
      </c>
      <c r="C83" s="748" t="s">
        <v>162</v>
      </c>
      <c r="D83" s="758"/>
      <c r="E83" s="743"/>
      <c r="F83" s="744"/>
      <c r="G83" s="743"/>
      <c r="H83" s="745"/>
      <c r="I83" s="743"/>
      <c r="P83" s="32"/>
      <c r="Q83" s="32"/>
      <c r="R83" s="32"/>
      <c r="S83" s="32"/>
      <c r="T83" s="32"/>
      <c r="U83" s="32"/>
    </row>
    <row r="84" spans="1:21" x14ac:dyDescent="0.2">
      <c r="A84" s="739">
        <v>75</v>
      </c>
      <c r="B84" s="747" t="s">
        <v>163</v>
      </c>
      <c r="C84" s="748" t="s">
        <v>459</v>
      </c>
      <c r="D84" s="758"/>
      <c r="E84" s="743"/>
      <c r="F84" s="744"/>
      <c r="G84" s="743"/>
      <c r="H84" s="745"/>
      <c r="I84" s="743"/>
      <c r="P84" s="32"/>
      <c r="Q84" s="32"/>
      <c r="R84" s="32"/>
      <c r="S84" s="32"/>
      <c r="T84" s="32"/>
      <c r="U84" s="32"/>
    </row>
    <row r="85" spans="1:21" x14ac:dyDescent="0.2">
      <c r="A85" s="739">
        <v>76</v>
      </c>
      <c r="B85" s="747" t="s">
        <v>165</v>
      </c>
      <c r="C85" s="748" t="s">
        <v>166</v>
      </c>
      <c r="D85" s="758"/>
      <c r="E85" s="743"/>
      <c r="F85" s="744"/>
      <c r="G85" s="743"/>
      <c r="H85" s="745"/>
      <c r="I85" s="743"/>
      <c r="P85" s="32"/>
      <c r="Q85" s="32"/>
      <c r="R85" s="32"/>
      <c r="S85" s="32"/>
      <c r="T85" s="32"/>
      <c r="U85" s="32"/>
    </row>
    <row r="86" spans="1:21" x14ac:dyDescent="0.2">
      <c r="A86" s="739">
        <v>77</v>
      </c>
      <c r="B86" s="740" t="s">
        <v>167</v>
      </c>
      <c r="C86" s="748" t="s">
        <v>168</v>
      </c>
      <c r="D86" s="758"/>
      <c r="E86" s="743"/>
      <c r="F86" s="744"/>
      <c r="G86" s="743"/>
      <c r="H86" s="745"/>
      <c r="I86" s="743"/>
      <c r="P86" s="32"/>
      <c r="Q86" s="32"/>
      <c r="R86" s="32"/>
      <c r="S86" s="32"/>
      <c r="T86" s="32"/>
      <c r="U86" s="32"/>
    </row>
    <row r="87" spans="1:21" x14ac:dyDescent="0.2">
      <c r="A87" s="739">
        <v>78</v>
      </c>
      <c r="B87" s="740" t="s">
        <v>169</v>
      </c>
      <c r="C87" s="748" t="s">
        <v>170</v>
      </c>
      <c r="D87" s="758"/>
      <c r="E87" s="743"/>
      <c r="F87" s="744"/>
      <c r="G87" s="743"/>
      <c r="H87" s="745"/>
      <c r="I87" s="743"/>
      <c r="P87" s="32"/>
      <c r="Q87" s="32"/>
      <c r="R87" s="32"/>
      <c r="S87" s="32"/>
      <c r="T87" s="32"/>
      <c r="U87" s="32"/>
    </row>
    <row r="88" spans="1:21" x14ac:dyDescent="0.2">
      <c r="A88" s="739">
        <v>79</v>
      </c>
      <c r="B88" s="740" t="s">
        <v>171</v>
      </c>
      <c r="C88" s="748" t="s">
        <v>172</v>
      </c>
      <c r="D88" s="758"/>
      <c r="E88" s="743"/>
      <c r="F88" s="744"/>
      <c r="G88" s="743"/>
      <c r="H88" s="745"/>
      <c r="I88" s="743"/>
      <c r="P88" s="32"/>
      <c r="Q88" s="32"/>
      <c r="R88" s="32"/>
      <c r="S88" s="32"/>
      <c r="T88" s="32"/>
      <c r="U88" s="32"/>
    </row>
    <row r="89" spans="1:21" x14ac:dyDescent="0.2">
      <c r="A89" s="739">
        <v>80</v>
      </c>
      <c r="B89" s="740" t="s">
        <v>173</v>
      </c>
      <c r="C89" s="748" t="s">
        <v>622</v>
      </c>
      <c r="D89" s="758"/>
      <c r="E89" s="743"/>
      <c r="F89" s="744"/>
      <c r="G89" s="743"/>
      <c r="H89" s="745"/>
      <c r="I89" s="743"/>
      <c r="P89" s="32"/>
      <c r="Q89" s="32"/>
      <c r="R89" s="32"/>
      <c r="S89" s="32"/>
      <c r="T89" s="32"/>
      <c r="U89" s="32"/>
    </row>
    <row r="90" spans="1:21" x14ac:dyDescent="0.2">
      <c r="A90" s="739">
        <v>81</v>
      </c>
      <c r="B90" s="740" t="s">
        <v>175</v>
      </c>
      <c r="C90" s="748" t="s">
        <v>176</v>
      </c>
      <c r="D90" s="758"/>
      <c r="E90" s="743"/>
      <c r="F90" s="744"/>
      <c r="G90" s="743"/>
      <c r="H90" s="745"/>
      <c r="I90" s="743"/>
      <c r="P90" s="32"/>
      <c r="Q90" s="32"/>
      <c r="R90" s="32"/>
      <c r="S90" s="32"/>
      <c r="T90" s="32"/>
      <c r="U90" s="32"/>
    </row>
    <row r="91" spans="1:21" x14ac:dyDescent="0.2">
      <c r="A91" s="739">
        <v>82</v>
      </c>
      <c r="B91" s="761" t="s">
        <v>177</v>
      </c>
      <c r="C91" s="760" t="s">
        <v>760</v>
      </c>
      <c r="D91" s="758"/>
      <c r="E91" s="743"/>
      <c r="F91" s="744"/>
      <c r="G91" s="743"/>
      <c r="H91" s="745"/>
      <c r="I91" s="743"/>
      <c r="P91" s="32"/>
      <c r="Q91" s="32"/>
      <c r="R91" s="32"/>
      <c r="S91" s="32"/>
      <c r="T91" s="32"/>
      <c r="U91" s="32"/>
    </row>
    <row r="92" spans="1:21" ht="25.5" x14ac:dyDescent="0.2">
      <c r="A92" s="1180">
        <v>83</v>
      </c>
      <c r="B92" s="1181" t="s">
        <v>178</v>
      </c>
      <c r="C92" s="762" t="s">
        <v>761</v>
      </c>
      <c r="D92" s="758"/>
      <c r="E92" s="743"/>
      <c r="F92" s="744"/>
      <c r="G92" s="743"/>
      <c r="H92" s="745"/>
      <c r="I92" s="743"/>
      <c r="P92" s="32"/>
      <c r="Q92" s="32"/>
      <c r="R92" s="32"/>
      <c r="S92" s="32"/>
      <c r="T92" s="32"/>
      <c r="U92" s="32"/>
    </row>
    <row r="93" spans="1:21" ht="25.5" x14ac:dyDescent="0.2">
      <c r="A93" s="1180"/>
      <c r="B93" s="1181"/>
      <c r="C93" s="760" t="s">
        <v>179</v>
      </c>
      <c r="D93" s="758"/>
      <c r="E93" s="743"/>
      <c r="F93" s="744"/>
      <c r="G93" s="743"/>
      <c r="H93" s="745"/>
      <c r="I93" s="743"/>
      <c r="P93" s="32"/>
      <c r="Q93" s="32"/>
      <c r="R93" s="32"/>
      <c r="S93" s="32"/>
      <c r="T93" s="32"/>
      <c r="U93" s="32"/>
    </row>
    <row r="94" spans="1:21" ht="25.5" x14ac:dyDescent="0.2">
      <c r="A94" s="1180"/>
      <c r="B94" s="1181"/>
      <c r="C94" s="760" t="s">
        <v>180</v>
      </c>
      <c r="D94" s="758"/>
      <c r="E94" s="743"/>
      <c r="F94" s="744"/>
      <c r="G94" s="743"/>
      <c r="H94" s="745"/>
      <c r="I94" s="743"/>
      <c r="P94" s="32"/>
      <c r="Q94" s="32"/>
      <c r="R94" s="32"/>
      <c r="S94" s="32"/>
      <c r="T94" s="32"/>
      <c r="U94" s="32"/>
    </row>
    <row r="95" spans="1:21" ht="51" x14ac:dyDescent="0.2">
      <c r="A95" s="1180"/>
      <c r="B95" s="1181"/>
      <c r="C95" s="763" t="s">
        <v>510</v>
      </c>
      <c r="D95" s="758"/>
      <c r="E95" s="743"/>
      <c r="F95" s="744"/>
      <c r="G95" s="743"/>
      <c r="H95" s="745"/>
      <c r="I95" s="743"/>
      <c r="P95" s="32"/>
      <c r="Q95" s="32"/>
      <c r="R95" s="32"/>
      <c r="S95" s="32"/>
      <c r="T95" s="32"/>
      <c r="U95" s="32"/>
    </row>
    <row r="96" spans="1:21" ht="25.5" x14ac:dyDescent="0.2">
      <c r="A96" s="739">
        <v>84</v>
      </c>
      <c r="B96" s="747" t="s">
        <v>181</v>
      </c>
      <c r="C96" s="748" t="s">
        <v>182</v>
      </c>
      <c r="D96" s="758"/>
      <c r="E96" s="743"/>
      <c r="F96" s="744"/>
      <c r="G96" s="743"/>
      <c r="H96" s="745"/>
      <c r="I96" s="743"/>
      <c r="P96" s="32"/>
      <c r="Q96" s="32"/>
      <c r="R96" s="32"/>
      <c r="S96" s="32"/>
      <c r="T96" s="32"/>
      <c r="U96" s="32"/>
    </row>
    <row r="97" spans="1:21" x14ac:dyDescent="0.2">
      <c r="A97" s="739">
        <v>85</v>
      </c>
      <c r="B97" s="740" t="s">
        <v>183</v>
      </c>
      <c r="C97" s="748" t="s">
        <v>184</v>
      </c>
      <c r="D97" s="758"/>
      <c r="E97" s="743"/>
      <c r="F97" s="744"/>
      <c r="G97" s="743"/>
      <c r="H97" s="745"/>
      <c r="I97" s="743"/>
      <c r="P97" s="32"/>
      <c r="Q97" s="32"/>
      <c r="R97" s="32"/>
      <c r="S97" s="32"/>
      <c r="T97" s="32"/>
      <c r="U97" s="32"/>
    </row>
    <row r="98" spans="1:21" x14ac:dyDescent="0.2">
      <c r="A98" s="739">
        <v>86</v>
      </c>
      <c r="B98" s="747" t="s">
        <v>185</v>
      </c>
      <c r="C98" s="748" t="s">
        <v>186</v>
      </c>
      <c r="D98" s="758"/>
      <c r="E98" s="743"/>
      <c r="F98" s="744"/>
      <c r="G98" s="743"/>
      <c r="H98" s="745"/>
      <c r="I98" s="743"/>
      <c r="P98" s="32"/>
      <c r="Q98" s="32"/>
      <c r="R98" s="32"/>
      <c r="S98" s="32"/>
      <c r="T98" s="32"/>
      <c r="U98" s="32"/>
    </row>
    <row r="99" spans="1:21" x14ac:dyDescent="0.2">
      <c r="A99" s="739">
        <v>87</v>
      </c>
      <c r="B99" s="750" t="s">
        <v>187</v>
      </c>
      <c r="C99" s="751" t="s">
        <v>188</v>
      </c>
      <c r="D99" s="746">
        <v>1608</v>
      </c>
      <c r="E99" s="743"/>
      <c r="F99" s="744"/>
      <c r="G99" s="743"/>
      <c r="H99" s="745"/>
      <c r="I99" s="743"/>
      <c r="P99" s="32"/>
      <c r="Q99" s="32"/>
      <c r="R99" s="32"/>
      <c r="S99" s="32"/>
      <c r="T99" s="32"/>
      <c r="U99" s="32"/>
    </row>
    <row r="100" spans="1:21" x14ac:dyDescent="0.2">
      <c r="A100" s="739">
        <v>88</v>
      </c>
      <c r="B100" s="740" t="s">
        <v>189</v>
      </c>
      <c r="C100" s="748" t="s">
        <v>190</v>
      </c>
      <c r="D100" s="746">
        <v>2085</v>
      </c>
      <c r="E100" s="743"/>
      <c r="F100" s="744"/>
      <c r="G100" s="743"/>
      <c r="H100" s="745"/>
      <c r="I100" s="743"/>
      <c r="P100" s="32"/>
      <c r="Q100" s="32"/>
      <c r="R100" s="32"/>
      <c r="S100" s="32"/>
      <c r="T100" s="32"/>
      <c r="U100" s="32"/>
    </row>
    <row r="101" spans="1:21" x14ac:dyDescent="0.2">
      <c r="A101" s="739">
        <v>89</v>
      </c>
      <c r="B101" s="740" t="s">
        <v>191</v>
      </c>
      <c r="C101" s="748" t="s">
        <v>192</v>
      </c>
      <c r="D101" s="746">
        <v>3666</v>
      </c>
      <c r="E101" s="743"/>
      <c r="F101" s="744"/>
      <c r="G101" s="743"/>
      <c r="H101" s="745"/>
      <c r="I101" s="743"/>
      <c r="P101" s="32"/>
      <c r="Q101" s="32"/>
      <c r="R101" s="32"/>
      <c r="S101" s="32"/>
      <c r="T101" s="32"/>
      <c r="U101" s="32"/>
    </row>
    <row r="102" spans="1:21" x14ac:dyDescent="0.2">
      <c r="A102" s="739">
        <v>90</v>
      </c>
      <c r="B102" s="750" t="s">
        <v>193</v>
      </c>
      <c r="C102" s="751" t="s">
        <v>194</v>
      </c>
      <c r="D102" s="746">
        <f>1136+508</f>
        <v>1644</v>
      </c>
      <c r="E102" s="743"/>
      <c r="F102" s="744"/>
      <c r="G102" s="743"/>
      <c r="H102" s="745"/>
      <c r="I102" s="743"/>
      <c r="P102" s="32"/>
      <c r="Q102" s="32"/>
      <c r="R102" s="32"/>
      <c r="S102" s="32"/>
      <c r="T102" s="32"/>
      <c r="U102" s="32"/>
    </row>
    <row r="103" spans="1:21" x14ac:dyDescent="0.2">
      <c r="A103" s="739">
        <v>91</v>
      </c>
      <c r="B103" s="740" t="s">
        <v>195</v>
      </c>
      <c r="C103" s="748" t="s">
        <v>196</v>
      </c>
      <c r="D103" s="746">
        <v>2395</v>
      </c>
      <c r="E103" s="743"/>
      <c r="F103" s="744"/>
      <c r="G103" s="743"/>
      <c r="H103" s="745"/>
      <c r="I103" s="743"/>
      <c r="P103" s="32"/>
      <c r="Q103" s="32"/>
      <c r="R103" s="32"/>
      <c r="S103" s="32"/>
      <c r="T103" s="32"/>
      <c r="U103" s="32"/>
    </row>
    <row r="104" spans="1:21" x14ac:dyDescent="0.2">
      <c r="A104" s="739">
        <v>92</v>
      </c>
      <c r="B104" s="750" t="s">
        <v>197</v>
      </c>
      <c r="C104" s="751" t="s">
        <v>198</v>
      </c>
      <c r="D104" s="746">
        <f>4211+801</f>
        <v>5012</v>
      </c>
      <c r="E104" s="743"/>
      <c r="F104" s="744"/>
      <c r="G104" s="743"/>
      <c r="H104" s="745"/>
      <c r="I104" s="743"/>
      <c r="P104" s="32"/>
      <c r="Q104" s="32"/>
      <c r="R104" s="32"/>
      <c r="S104" s="32"/>
      <c r="T104" s="32"/>
      <c r="U104" s="32"/>
    </row>
    <row r="105" spans="1:21" x14ac:dyDescent="0.2">
      <c r="A105" s="739">
        <v>93</v>
      </c>
      <c r="B105" s="740" t="s">
        <v>199</v>
      </c>
      <c r="C105" s="748" t="s">
        <v>200</v>
      </c>
      <c r="D105" s="746">
        <f>2741+870</f>
        <v>3611</v>
      </c>
      <c r="E105" s="743"/>
      <c r="F105" s="744"/>
      <c r="G105" s="743"/>
      <c r="H105" s="745"/>
      <c r="I105" s="743"/>
      <c r="P105" s="32"/>
      <c r="Q105" s="32"/>
      <c r="R105" s="32"/>
      <c r="S105" s="32"/>
      <c r="T105" s="32"/>
      <c r="U105" s="32"/>
    </row>
    <row r="106" spans="1:21" x14ac:dyDescent="0.2">
      <c r="A106" s="739">
        <v>94</v>
      </c>
      <c r="B106" s="747" t="s">
        <v>201</v>
      </c>
      <c r="C106" s="748" t="s">
        <v>202</v>
      </c>
      <c r="D106" s="746">
        <v>1628</v>
      </c>
      <c r="E106" s="743"/>
      <c r="F106" s="744"/>
      <c r="G106" s="743"/>
      <c r="H106" s="745"/>
      <c r="I106" s="743"/>
      <c r="P106" s="32"/>
      <c r="Q106" s="32"/>
      <c r="R106" s="32"/>
      <c r="S106" s="32"/>
      <c r="T106" s="32"/>
      <c r="U106" s="32"/>
    </row>
    <row r="107" spans="1:21" x14ac:dyDescent="0.2">
      <c r="A107" s="739">
        <v>95</v>
      </c>
      <c r="B107" s="740" t="s">
        <v>203</v>
      </c>
      <c r="C107" s="741" t="s">
        <v>204</v>
      </c>
      <c r="D107" s="746">
        <v>2232</v>
      </c>
      <c r="E107" s="743"/>
      <c r="F107" s="744"/>
      <c r="G107" s="743"/>
      <c r="H107" s="745"/>
      <c r="I107" s="743"/>
      <c r="P107" s="32"/>
      <c r="Q107" s="32"/>
      <c r="R107" s="32"/>
      <c r="S107" s="32"/>
      <c r="T107" s="32"/>
      <c r="U107" s="32"/>
    </row>
    <row r="108" spans="1:21" x14ac:dyDescent="0.2">
      <c r="A108" s="739">
        <v>96</v>
      </c>
      <c r="B108" s="740" t="s">
        <v>205</v>
      </c>
      <c r="C108" s="751" t="s">
        <v>206</v>
      </c>
      <c r="D108" s="746">
        <f>1320+382</f>
        <v>1702</v>
      </c>
      <c r="E108" s="743"/>
      <c r="F108" s="744"/>
      <c r="G108" s="743"/>
      <c r="H108" s="745"/>
      <c r="I108" s="743"/>
      <c r="P108" s="32"/>
      <c r="Q108" s="32"/>
      <c r="R108" s="32"/>
      <c r="S108" s="32"/>
      <c r="T108" s="32"/>
      <c r="U108" s="32"/>
    </row>
    <row r="109" spans="1:21" x14ac:dyDescent="0.2">
      <c r="A109" s="739">
        <v>97</v>
      </c>
      <c r="B109" s="747" t="s">
        <v>207</v>
      </c>
      <c r="C109" s="748" t="s">
        <v>208</v>
      </c>
      <c r="D109" s="746">
        <v>2611</v>
      </c>
      <c r="E109" s="743">
        <v>81</v>
      </c>
      <c r="F109" s="744"/>
      <c r="G109" s="743"/>
      <c r="H109" s="745"/>
      <c r="I109" s="743"/>
      <c r="P109" s="32"/>
      <c r="Q109" s="32"/>
      <c r="R109" s="32"/>
      <c r="S109" s="32"/>
      <c r="T109" s="32"/>
      <c r="U109" s="32"/>
    </row>
    <row r="110" spans="1:21" x14ac:dyDescent="0.2">
      <c r="A110" s="739">
        <v>98</v>
      </c>
      <c r="B110" s="740" t="s">
        <v>209</v>
      </c>
      <c r="C110" s="741" t="s">
        <v>210</v>
      </c>
      <c r="D110" s="746">
        <v>4619</v>
      </c>
      <c r="E110" s="743"/>
      <c r="F110" s="744"/>
      <c r="G110" s="743"/>
      <c r="H110" s="745"/>
      <c r="I110" s="743"/>
      <c r="P110" s="32"/>
      <c r="Q110" s="32"/>
      <c r="R110" s="32"/>
      <c r="S110" s="32"/>
      <c r="T110" s="32"/>
      <c r="U110" s="32"/>
    </row>
    <row r="111" spans="1:21" x14ac:dyDescent="0.2">
      <c r="A111" s="739">
        <v>99</v>
      </c>
      <c r="B111" s="747" t="s">
        <v>211</v>
      </c>
      <c r="C111" s="748" t="s">
        <v>212</v>
      </c>
      <c r="D111" s="746">
        <v>2053</v>
      </c>
      <c r="E111" s="743"/>
      <c r="F111" s="744"/>
      <c r="G111" s="743"/>
      <c r="H111" s="745"/>
      <c r="I111" s="743"/>
      <c r="P111" s="32"/>
      <c r="Q111" s="32"/>
      <c r="R111" s="32"/>
      <c r="S111" s="32"/>
      <c r="T111" s="32"/>
      <c r="U111" s="32"/>
    </row>
    <row r="112" spans="1:21" x14ac:dyDescent="0.2">
      <c r="A112" s="739">
        <v>100</v>
      </c>
      <c r="B112" s="747" t="s">
        <v>213</v>
      </c>
      <c r="C112" s="748" t="s">
        <v>214</v>
      </c>
      <c r="D112" s="746">
        <v>4655</v>
      </c>
      <c r="E112" s="743"/>
      <c r="F112" s="744"/>
      <c r="G112" s="743"/>
      <c r="H112" s="745"/>
      <c r="I112" s="743"/>
      <c r="P112" s="32"/>
      <c r="Q112" s="32"/>
      <c r="R112" s="32"/>
      <c r="S112" s="32"/>
      <c r="T112" s="32"/>
      <c r="U112" s="32"/>
    </row>
    <row r="113" spans="1:21" x14ac:dyDescent="0.2">
      <c r="A113" s="739">
        <v>101</v>
      </c>
      <c r="B113" s="740" t="s">
        <v>215</v>
      </c>
      <c r="C113" s="751" t="s">
        <v>216</v>
      </c>
      <c r="D113" s="746">
        <v>1553</v>
      </c>
      <c r="E113" s="743"/>
      <c r="F113" s="744"/>
      <c r="G113" s="743"/>
      <c r="H113" s="745"/>
      <c r="I113" s="743"/>
      <c r="P113" s="32"/>
      <c r="Q113" s="32"/>
      <c r="R113" s="32"/>
      <c r="S113" s="32"/>
      <c r="T113" s="32"/>
      <c r="U113" s="32"/>
    </row>
    <row r="114" spans="1:21" x14ac:dyDescent="0.2">
      <c r="A114" s="739">
        <v>102</v>
      </c>
      <c r="B114" s="740" t="s">
        <v>217</v>
      </c>
      <c r="C114" s="741" t="s">
        <v>218</v>
      </c>
      <c r="D114" s="746"/>
      <c r="E114" s="743"/>
      <c r="F114" s="744"/>
      <c r="G114" s="743"/>
      <c r="H114" s="745"/>
      <c r="I114" s="743"/>
      <c r="P114" s="32"/>
      <c r="Q114" s="32"/>
      <c r="R114" s="32"/>
      <c r="S114" s="32"/>
      <c r="T114" s="32"/>
      <c r="U114" s="32"/>
    </row>
    <row r="115" spans="1:21" x14ac:dyDescent="0.2">
      <c r="A115" s="739">
        <v>103</v>
      </c>
      <c r="B115" s="740" t="s">
        <v>219</v>
      </c>
      <c r="C115" s="741" t="s">
        <v>220</v>
      </c>
      <c r="D115" s="746"/>
      <c r="E115" s="743"/>
      <c r="F115" s="744"/>
      <c r="G115" s="743"/>
      <c r="H115" s="745"/>
      <c r="I115" s="743"/>
      <c r="P115" s="32"/>
      <c r="Q115" s="32"/>
      <c r="R115" s="32"/>
      <c r="S115" s="32"/>
      <c r="T115" s="32"/>
      <c r="U115" s="32"/>
    </row>
    <row r="116" spans="1:21" x14ac:dyDescent="0.2">
      <c r="A116" s="739">
        <v>104</v>
      </c>
      <c r="B116" s="740" t="s">
        <v>221</v>
      </c>
      <c r="C116" s="741" t="s">
        <v>222</v>
      </c>
      <c r="D116" s="746"/>
      <c r="E116" s="743"/>
      <c r="F116" s="744"/>
      <c r="G116" s="743"/>
      <c r="H116" s="745"/>
      <c r="I116" s="743"/>
      <c r="P116" s="32"/>
      <c r="Q116" s="32"/>
      <c r="R116" s="32"/>
      <c r="S116" s="32"/>
      <c r="T116" s="32"/>
      <c r="U116" s="32"/>
    </row>
    <row r="117" spans="1:21" x14ac:dyDescent="0.2">
      <c r="A117" s="739">
        <v>105</v>
      </c>
      <c r="B117" s="747" t="s">
        <v>223</v>
      </c>
      <c r="C117" s="748" t="s">
        <v>224</v>
      </c>
      <c r="D117" s="746"/>
      <c r="E117" s="743"/>
      <c r="F117" s="744"/>
      <c r="G117" s="743"/>
      <c r="H117" s="745"/>
      <c r="I117" s="743"/>
      <c r="P117" s="32"/>
      <c r="Q117" s="32"/>
      <c r="R117" s="32"/>
      <c r="S117" s="32"/>
      <c r="T117" s="32"/>
      <c r="U117" s="32"/>
    </row>
    <row r="118" spans="1:21" x14ac:dyDescent="0.2">
      <c r="A118" s="739">
        <v>106</v>
      </c>
      <c r="B118" s="750" t="s">
        <v>225</v>
      </c>
      <c r="C118" s="751" t="s">
        <v>226</v>
      </c>
      <c r="D118" s="746"/>
      <c r="E118" s="743"/>
      <c r="F118" s="744"/>
      <c r="G118" s="743"/>
      <c r="H118" s="745"/>
      <c r="I118" s="743"/>
      <c r="P118" s="32"/>
      <c r="Q118" s="32"/>
      <c r="R118" s="32"/>
      <c r="S118" s="32"/>
      <c r="T118" s="32"/>
      <c r="U118" s="32"/>
    </row>
    <row r="119" spans="1:21" ht="25.5" x14ac:dyDescent="0.2">
      <c r="A119" s="739">
        <v>107</v>
      </c>
      <c r="B119" s="740" t="s">
        <v>227</v>
      </c>
      <c r="C119" s="741" t="s">
        <v>228</v>
      </c>
      <c r="D119" s="746"/>
      <c r="E119" s="743"/>
      <c r="F119" s="744"/>
      <c r="G119" s="743"/>
      <c r="H119" s="745"/>
      <c r="I119" s="743"/>
      <c r="P119" s="32"/>
      <c r="Q119" s="32"/>
      <c r="R119" s="32"/>
      <c r="S119" s="32"/>
      <c r="T119" s="32"/>
      <c r="U119" s="32"/>
    </row>
    <row r="120" spans="1:21" x14ac:dyDescent="0.2">
      <c r="A120" s="739">
        <v>108</v>
      </c>
      <c r="B120" s="740" t="s">
        <v>229</v>
      </c>
      <c r="C120" s="741" t="s">
        <v>230</v>
      </c>
      <c r="D120" s="746"/>
      <c r="E120" s="743"/>
      <c r="F120" s="744"/>
      <c r="G120" s="743"/>
      <c r="H120" s="745"/>
      <c r="I120" s="743"/>
      <c r="P120" s="32"/>
      <c r="Q120" s="32"/>
      <c r="R120" s="32"/>
      <c r="S120" s="32"/>
      <c r="T120" s="32"/>
      <c r="U120" s="32"/>
    </row>
    <row r="121" spans="1:21" x14ac:dyDescent="0.2">
      <c r="A121" s="739">
        <v>109</v>
      </c>
      <c r="B121" s="747" t="s">
        <v>231</v>
      </c>
      <c r="C121" s="748" t="s">
        <v>232</v>
      </c>
      <c r="D121" s="746"/>
      <c r="E121" s="743"/>
      <c r="F121" s="744"/>
      <c r="G121" s="743"/>
      <c r="H121" s="745"/>
      <c r="I121" s="743"/>
      <c r="P121" s="32"/>
      <c r="Q121" s="32"/>
      <c r="R121" s="32"/>
      <c r="S121" s="32"/>
      <c r="T121" s="32"/>
      <c r="U121" s="32"/>
    </row>
    <row r="122" spans="1:21" x14ac:dyDescent="0.2">
      <c r="A122" s="739">
        <v>110</v>
      </c>
      <c r="B122" s="747" t="s">
        <v>233</v>
      </c>
      <c r="C122" s="748" t="s">
        <v>234</v>
      </c>
      <c r="D122" s="746"/>
      <c r="E122" s="743"/>
      <c r="F122" s="744"/>
      <c r="G122" s="743"/>
      <c r="H122" s="745"/>
      <c r="I122" s="743"/>
      <c r="P122" s="32"/>
      <c r="Q122" s="32"/>
      <c r="R122" s="32"/>
      <c r="S122" s="32"/>
      <c r="T122" s="32"/>
      <c r="U122" s="32"/>
    </row>
    <row r="123" spans="1:21" x14ac:dyDescent="0.2">
      <c r="A123" s="739">
        <v>111</v>
      </c>
      <c r="B123" s="764" t="s">
        <v>235</v>
      </c>
      <c r="C123" s="741" t="s">
        <v>236</v>
      </c>
      <c r="D123" s="746"/>
      <c r="E123" s="743"/>
      <c r="F123" s="744"/>
      <c r="G123" s="743"/>
      <c r="H123" s="745"/>
      <c r="I123" s="743"/>
      <c r="P123" s="32"/>
      <c r="Q123" s="32"/>
      <c r="R123" s="32"/>
      <c r="S123" s="32"/>
      <c r="T123" s="32"/>
      <c r="U123" s="32"/>
    </row>
    <row r="124" spans="1:21" x14ac:dyDescent="0.2">
      <c r="A124" s="739">
        <v>112</v>
      </c>
      <c r="B124" s="740" t="s">
        <v>237</v>
      </c>
      <c r="C124" s="741" t="s">
        <v>238</v>
      </c>
      <c r="D124" s="746"/>
      <c r="E124" s="743"/>
      <c r="F124" s="744"/>
      <c r="G124" s="743"/>
      <c r="H124" s="745"/>
      <c r="I124" s="743"/>
      <c r="P124" s="32"/>
      <c r="Q124" s="32"/>
      <c r="R124" s="32"/>
      <c r="S124" s="32"/>
      <c r="T124" s="32"/>
      <c r="U124" s="32"/>
    </row>
    <row r="125" spans="1:21" x14ac:dyDescent="0.2">
      <c r="A125" s="739">
        <v>113</v>
      </c>
      <c r="B125" s="740" t="s">
        <v>239</v>
      </c>
      <c r="C125" s="748" t="s">
        <v>240</v>
      </c>
      <c r="D125" s="746"/>
      <c r="E125" s="743"/>
      <c r="F125" s="744"/>
      <c r="G125" s="743"/>
      <c r="H125" s="745"/>
      <c r="I125" s="743"/>
      <c r="P125" s="32"/>
      <c r="Q125" s="32"/>
      <c r="R125" s="32"/>
      <c r="S125" s="32"/>
      <c r="T125" s="32"/>
      <c r="U125" s="32"/>
    </row>
    <row r="126" spans="1:21" ht="25.5" x14ac:dyDescent="0.2">
      <c r="A126" s="739">
        <v>114</v>
      </c>
      <c r="B126" s="740" t="s">
        <v>241</v>
      </c>
      <c r="C126" s="741" t="s">
        <v>242</v>
      </c>
      <c r="D126" s="746"/>
      <c r="E126" s="743"/>
      <c r="F126" s="744"/>
      <c r="G126" s="743"/>
      <c r="H126" s="745"/>
      <c r="I126" s="743"/>
      <c r="P126" s="32"/>
      <c r="Q126" s="32"/>
      <c r="R126" s="32"/>
      <c r="S126" s="32"/>
      <c r="T126" s="32"/>
      <c r="U126" s="32"/>
    </row>
    <row r="127" spans="1:21" x14ac:dyDescent="0.2">
      <c r="A127" s="739">
        <v>115</v>
      </c>
      <c r="B127" s="759" t="s">
        <v>243</v>
      </c>
      <c r="C127" s="760" t="s">
        <v>385</v>
      </c>
      <c r="D127" s="746"/>
      <c r="E127" s="743"/>
      <c r="F127" s="744"/>
      <c r="G127" s="743"/>
      <c r="H127" s="745"/>
      <c r="I127" s="743"/>
      <c r="P127" s="32"/>
      <c r="Q127" s="32"/>
      <c r="R127" s="32"/>
      <c r="S127" s="32"/>
      <c r="T127" s="32"/>
      <c r="U127" s="32"/>
    </row>
    <row r="128" spans="1:21" x14ac:dyDescent="0.2">
      <c r="A128" s="739">
        <v>116</v>
      </c>
      <c r="B128" s="747" t="s">
        <v>244</v>
      </c>
      <c r="C128" s="748" t="s">
        <v>654</v>
      </c>
      <c r="D128" s="746"/>
      <c r="E128" s="743"/>
      <c r="F128" s="744"/>
      <c r="G128" s="743"/>
      <c r="H128" s="745"/>
      <c r="I128" s="743"/>
      <c r="P128" s="32"/>
      <c r="Q128" s="32"/>
      <c r="R128" s="32"/>
      <c r="S128" s="32"/>
      <c r="T128" s="32"/>
      <c r="U128" s="32"/>
    </row>
    <row r="129" spans="1:21" x14ac:dyDescent="0.2">
      <c r="A129" s="739">
        <v>117</v>
      </c>
      <c r="B129" s="747" t="s">
        <v>246</v>
      </c>
      <c r="C129" s="748" t="s">
        <v>247</v>
      </c>
      <c r="D129" s="746"/>
      <c r="E129" s="743"/>
      <c r="F129" s="744"/>
      <c r="G129" s="743"/>
      <c r="H129" s="745"/>
      <c r="I129" s="743"/>
      <c r="P129" s="32"/>
      <c r="Q129" s="32"/>
      <c r="R129" s="32"/>
      <c r="S129" s="32"/>
      <c r="T129" s="32"/>
      <c r="U129" s="32"/>
    </row>
    <row r="130" spans="1:21" x14ac:dyDescent="0.2">
      <c r="A130" s="739">
        <v>118</v>
      </c>
      <c r="B130" s="747" t="s">
        <v>248</v>
      </c>
      <c r="C130" s="748" t="s">
        <v>249</v>
      </c>
      <c r="D130" s="746"/>
      <c r="E130" s="743"/>
      <c r="F130" s="744"/>
      <c r="G130" s="743"/>
      <c r="H130" s="745"/>
      <c r="I130" s="743"/>
      <c r="P130" s="32"/>
      <c r="Q130" s="32"/>
      <c r="R130" s="32"/>
      <c r="S130" s="32"/>
      <c r="T130" s="32"/>
      <c r="U130" s="32"/>
    </row>
    <row r="131" spans="1:21" x14ac:dyDescent="0.2">
      <c r="A131" s="739">
        <v>119</v>
      </c>
      <c r="B131" s="747" t="s">
        <v>250</v>
      </c>
      <c r="C131" s="748" t="s">
        <v>251</v>
      </c>
      <c r="D131" s="746"/>
      <c r="E131" s="743"/>
      <c r="F131" s="744"/>
      <c r="G131" s="743"/>
      <c r="H131" s="745"/>
      <c r="I131" s="743"/>
      <c r="P131" s="32"/>
      <c r="Q131" s="32"/>
      <c r="R131" s="32"/>
      <c r="S131" s="32"/>
      <c r="T131" s="32"/>
      <c r="U131" s="32"/>
    </row>
    <row r="132" spans="1:21" x14ac:dyDescent="0.2">
      <c r="A132" s="739">
        <v>120</v>
      </c>
      <c r="B132" s="765" t="s">
        <v>252</v>
      </c>
      <c r="C132" s="766" t="s">
        <v>253</v>
      </c>
      <c r="D132" s="746"/>
      <c r="E132" s="743"/>
      <c r="F132" s="744"/>
      <c r="G132" s="743"/>
      <c r="H132" s="745"/>
      <c r="I132" s="743"/>
      <c r="P132" s="32"/>
      <c r="Q132" s="32"/>
      <c r="R132" s="32"/>
      <c r="S132" s="32"/>
      <c r="T132" s="32"/>
      <c r="U132" s="32"/>
    </row>
    <row r="133" spans="1:21" x14ac:dyDescent="0.2">
      <c r="A133" s="739">
        <v>121</v>
      </c>
      <c r="B133" s="740" t="s">
        <v>254</v>
      </c>
      <c r="C133" s="741" t="s">
        <v>255</v>
      </c>
      <c r="D133" s="746"/>
      <c r="E133" s="743"/>
      <c r="F133" s="744"/>
      <c r="G133" s="743"/>
      <c r="H133" s="745"/>
      <c r="I133" s="743"/>
      <c r="P133" s="32"/>
      <c r="Q133" s="32"/>
      <c r="R133" s="32"/>
      <c r="S133" s="32"/>
      <c r="T133" s="32"/>
      <c r="U133" s="32"/>
    </row>
    <row r="134" spans="1:21" x14ac:dyDescent="0.2">
      <c r="A134" s="739">
        <v>122</v>
      </c>
      <c r="B134" s="747" t="s">
        <v>256</v>
      </c>
      <c r="C134" s="748" t="s">
        <v>257</v>
      </c>
      <c r="D134" s="746"/>
      <c r="E134" s="743"/>
      <c r="F134" s="744"/>
      <c r="G134" s="743"/>
      <c r="H134" s="745"/>
      <c r="I134" s="743"/>
      <c r="P134" s="32"/>
      <c r="Q134" s="32"/>
      <c r="R134" s="32"/>
      <c r="S134" s="32"/>
      <c r="T134" s="32"/>
      <c r="U134" s="32"/>
    </row>
    <row r="135" spans="1:21" x14ac:dyDescent="0.2">
      <c r="A135" s="739">
        <v>123</v>
      </c>
      <c r="B135" s="740" t="s">
        <v>258</v>
      </c>
      <c r="C135" s="748" t="s">
        <v>259</v>
      </c>
      <c r="D135" s="746"/>
      <c r="E135" s="743"/>
      <c r="F135" s="744"/>
      <c r="G135" s="743"/>
      <c r="H135" s="745"/>
      <c r="I135" s="743"/>
      <c r="P135" s="32"/>
      <c r="Q135" s="32"/>
      <c r="R135" s="32"/>
      <c r="S135" s="32"/>
      <c r="T135" s="32"/>
      <c r="U135" s="32"/>
    </row>
    <row r="136" spans="1:21" x14ac:dyDescent="0.2">
      <c r="A136" s="739">
        <v>124</v>
      </c>
      <c r="B136" s="747" t="s">
        <v>260</v>
      </c>
      <c r="C136" s="748" t="s">
        <v>261</v>
      </c>
      <c r="D136" s="746"/>
      <c r="E136" s="743"/>
      <c r="F136" s="744"/>
      <c r="G136" s="743"/>
      <c r="H136" s="745"/>
      <c r="I136" s="743"/>
      <c r="P136" s="32"/>
      <c r="Q136" s="32"/>
      <c r="R136" s="32"/>
      <c r="S136" s="32"/>
      <c r="T136" s="32"/>
      <c r="U136" s="32"/>
    </row>
    <row r="137" spans="1:21" x14ac:dyDescent="0.2">
      <c r="A137" s="739">
        <v>125</v>
      </c>
      <c r="B137" s="747" t="s">
        <v>262</v>
      </c>
      <c r="C137" s="748" t="s">
        <v>263</v>
      </c>
      <c r="D137" s="746"/>
      <c r="E137" s="743"/>
      <c r="F137" s="744"/>
      <c r="G137" s="743"/>
      <c r="H137" s="745"/>
      <c r="I137" s="743"/>
      <c r="P137" s="32"/>
      <c r="Q137" s="32"/>
      <c r="R137" s="32"/>
      <c r="S137" s="32"/>
      <c r="T137" s="32"/>
      <c r="U137" s="32"/>
    </row>
    <row r="138" spans="1:21" x14ac:dyDescent="0.2">
      <c r="A138" s="739">
        <v>126</v>
      </c>
      <c r="B138" s="740" t="s">
        <v>264</v>
      </c>
      <c r="C138" s="748" t="s">
        <v>265</v>
      </c>
      <c r="D138" s="746"/>
      <c r="E138" s="743"/>
      <c r="F138" s="744"/>
      <c r="G138" s="743"/>
      <c r="H138" s="745"/>
      <c r="I138" s="743"/>
      <c r="P138" s="32"/>
      <c r="Q138" s="32"/>
      <c r="R138" s="32"/>
      <c r="S138" s="32"/>
      <c r="T138" s="32"/>
      <c r="U138" s="32"/>
    </row>
    <row r="139" spans="1:21" x14ac:dyDescent="0.2">
      <c r="A139" s="739">
        <v>127</v>
      </c>
      <c r="B139" s="747" t="s">
        <v>266</v>
      </c>
      <c r="C139" s="748" t="s">
        <v>267</v>
      </c>
      <c r="D139" s="746">
        <v>93850</v>
      </c>
      <c r="E139" s="743">
        <v>8852</v>
      </c>
      <c r="F139" s="744">
        <v>1859</v>
      </c>
      <c r="G139" s="743">
        <v>27880</v>
      </c>
      <c r="H139" s="767">
        <v>197</v>
      </c>
      <c r="I139" s="743">
        <v>2170</v>
      </c>
      <c r="P139" s="32"/>
      <c r="Q139" s="32"/>
      <c r="R139" s="32"/>
      <c r="S139" s="32"/>
      <c r="T139" s="32"/>
      <c r="U139" s="32"/>
    </row>
    <row r="140" spans="1:21" x14ac:dyDescent="0.2">
      <c r="A140" s="739">
        <v>128</v>
      </c>
      <c r="B140" s="740" t="s">
        <v>268</v>
      </c>
      <c r="C140" s="741" t="s">
        <v>269</v>
      </c>
      <c r="D140" s="746"/>
      <c r="E140" s="743"/>
      <c r="F140" s="744"/>
      <c r="G140" s="743"/>
      <c r="H140" s="745"/>
      <c r="I140" s="743"/>
      <c r="P140" s="32"/>
      <c r="Q140" s="32"/>
      <c r="R140" s="32"/>
      <c r="S140" s="32"/>
      <c r="T140" s="32"/>
      <c r="U140" s="32"/>
    </row>
    <row r="141" spans="1:21" x14ac:dyDescent="0.2">
      <c r="A141" s="739">
        <v>129</v>
      </c>
      <c r="B141" s="740" t="s">
        <v>270</v>
      </c>
      <c r="C141" s="741" t="s">
        <v>271</v>
      </c>
      <c r="D141" s="746"/>
      <c r="E141" s="743"/>
      <c r="F141" s="744"/>
      <c r="G141" s="743"/>
      <c r="H141" s="745"/>
      <c r="I141" s="743"/>
      <c r="P141" s="32"/>
      <c r="Q141" s="32"/>
      <c r="R141" s="32"/>
      <c r="S141" s="32"/>
      <c r="T141" s="32"/>
      <c r="U141" s="32"/>
    </row>
    <row r="142" spans="1:21" x14ac:dyDescent="0.2">
      <c r="A142" s="739">
        <v>130</v>
      </c>
      <c r="B142" s="747" t="s">
        <v>272</v>
      </c>
      <c r="C142" s="748" t="s">
        <v>273</v>
      </c>
      <c r="D142" s="746"/>
      <c r="E142" s="743"/>
      <c r="F142" s="744"/>
      <c r="G142" s="743"/>
      <c r="H142" s="745"/>
      <c r="I142" s="743"/>
      <c r="P142" s="32"/>
      <c r="Q142" s="32"/>
      <c r="R142" s="32"/>
      <c r="S142" s="32"/>
      <c r="T142" s="32"/>
      <c r="U142" s="32"/>
    </row>
    <row r="143" spans="1:21" x14ac:dyDescent="0.2">
      <c r="A143" s="739">
        <v>131</v>
      </c>
      <c r="B143" s="747" t="s">
        <v>274</v>
      </c>
      <c r="C143" s="748" t="s">
        <v>275</v>
      </c>
      <c r="D143" s="746"/>
      <c r="E143" s="743"/>
      <c r="F143" s="744"/>
      <c r="G143" s="743"/>
      <c r="H143" s="745"/>
      <c r="I143" s="743"/>
      <c r="P143" s="32"/>
      <c r="Q143" s="32"/>
      <c r="R143" s="32"/>
      <c r="S143" s="32"/>
      <c r="T143" s="32"/>
      <c r="U143" s="32"/>
    </row>
    <row r="144" spans="1:21" x14ac:dyDescent="0.2">
      <c r="A144" s="739">
        <v>132</v>
      </c>
      <c r="B144" s="747" t="s">
        <v>276</v>
      </c>
      <c r="C144" s="748" t="s">
        <v>277</v>
      </c>
      <c r="D144" s="746"/>
      <c r="E144" s="743"/>
      <c r="F144" s="744"/>
      <c r="G144" s="743"/>
      <c r="H144" s="745"/>
      <c r="I144" s="743"/>
      <c r="P144" s="32"/>
      <c r="Q144" s="32"/>
      <c r="R144" s="32"/>
      <c r="S144" s="32"/>
      <c r="T144" s="32"/>
      <c r="U144" s="32"/>
    </row>
    <row r="145" spans="1:21" x14ac:dyDescent="0.2">
      <c r="A145" s="739">
        <v>133</v>
      </c>
      <c r="B145" s="747" t="s">
        <v>278</v>
      </c>
      <c r="C145" s="748" t="s">
        <v>279</v>
      </c>
      <c r="D145" s="746">
        <v>4697</v>
      </c>
      <c r="E145" s="743"/>
      <c r="F145" s="744"/>
      <c r="G145" s="743"/>
      <c r="H145" s="745"/>
      <c r="I145" s="743"/>
      <c r="P145" s="32"/>
      <c r="Q145" s="32"/>
      <c r="R145" s="32"/>
      <c r="S145" s="32"/>
      <c r="T145" s="32"/>
      <c r="U145" s="32"/>
    </row>
    <row r="146" spans="1:21" x14ac:dyDescent="0.2">
      <c r="A146" s="739">
        <v>134</v>
      </c>
      <c r="B146" s="747" t="s">
        <v>280</v>
      </c>
      <c r="C146" s="748" t="s">
        <v>281</v>
      </c>
      <c r="D146" s="758"/>
      <c r="E146" s="743"/>
      <c r="F146" s="744"/>
      <c r="G146" s="743"/>
      <c r="H146" s="745"/>
      <c r="I146" s="743"/>
      <c r="P146" s="32"/>
      <c r="Q146" s="32"/>
      <c r="R146" s="32"/>
      <c r="S146" s="32"/>
      <c r="T146" s="32"/>
      <c r="U146" s="32"/>
    </row>
    <row r="147" spans="1:21" x14ac:dyDescent="0.2">
      <c r="A147" s="739">
        <v>135</v>
      </c>
      <c r="B147" s="740" t="s">
        <v>282</v>
      </c>
      <c r="C147" s="741" t="s">
        <v>283</v>
      </c>
      <c r="D147" s="758"/>
      <c r="E147" s="743"/>
      <c r="F147" s="744"/>
      <c r="G147" s="743"/>
      <c r="H147" s="745"/>
      <c r="I147" s="743"/>
      <c r="P147" s="32"/>
      <c r="Q147" s="32"/>
      <c r="R147" s="32"/>
      <c r="S147" s="32"/>
      <c r="T147" s="32"/>
      <c r="U147" s="32"/>
    </row>
    <row r="148" spans="1:21" x14ac:dyDescent="0.2">
      <c r="A148" s="739">
        <v>136</v>
      </c>
      <c r="B148" s="747" t="s">
        <v>284</v>
      </c>
      <c r="C148" s="748" t="s">
        <v>285</v>
      </c>
      <c r="D148" s="758"/>
      <c r="E148" s="743"/>
      <c r="F148" s="744"/>
      <c r="G148" s="743"/>
      <c r="H148" s="745"/>
      <c r="I148" s="743"/>
      <c r="P148" s="32"/>
      <c r="Q148" s="32"/>
      <c r="R148" s="32"/>
      <c r="S148" s="32"/>
      <c r="T148" s="32"/>
      <c r="U148" s="32"/>
    </row>
    <row r="149" spans="1:21" x14ac:dyDescent="0.2">
      <c r="A149" s="739">
        <v>137</v>
      </c>
      <c r="B149" s="768" t="s">
        <v>387</v>
      </c>
      <c r="C149" s="757" t="s">
        <v>388</v>
      </c>
      <c r="D149" s="758"/>
      <c r="E149" s="743"/>
      <c r="F149" s="744"/>
      <c r="G149" s="743"/>
      <c r="H149" s="745"/>
      <c r="I149" s="743"/>
      <c r="P149" s="32"/>
      <c r="Q149" s="32"/>
      <c r="R149" s="32"/>
      <c r="S149" s="32"/>
      <c r="T149" s="32"/>
      <c r="U149" s="32"/>
    </row>
    <row r="150" spans="1:21" x14ac:dyDescent="0.2">
      <c r="A150" s="739">
        <v>138</v>
      </c>
      <c r="B150" s="769" t="s">
        <v>389</v>
      </c>
      <c r="C150" s="770" t="s">
        <v>390</v>
      </c>
      <c r="D150" s="758"/>
      <c r="E150" s="743"/>
      <c r="F150" s="744"/>
      <c r="G150" s="743"/>
      <c r="H150" s="745"/>
      <c r="I150" s="743"/>
      <c r="P150" s="32"/>
      <c r="Q150" s="32"/>
      <c r="R150" s="32"/>
      <c r="S150" s="32"/>
      <c r="T150" s="32"/>
      <c r="U150" s="32"/>
    </row>
    <row r="151" spans="1:21" x14ac:dyDescent="0.2">
      <c r="A151" s="739">
        <v>139</v>
      </c>
      <c r="B151" s="768" t="s">
        <v>391</v>
      </c>
      <c r="C151" s="757" t="s">
        <v>392</v>
      </c>
      <c r="D151" s="758"/>
      <c r="E151" s="743"/>
      <c r="F151" s="744"/>
      <c r="G151" s="743"/>
      <c r="H151" s="745"/>
      <c r="I151" s="743"/>
      <c r="P151" s="32"/>
      <c r="Q151" s="32"/>
      <c r="R151" s="32"/>
      <c r="S151" s="32"/>
      <c r="T151" s="32"/>
      <c r="U151" s="32"/>
    </row>
    <row r="152" spans="1:21" ht="13.5" thickBot="1" x14ac:dyDescent="0.25">
      <c r="A152" s="771">
        <v>140</v>
      </c>
      <c r="B152" s="772" t="s">
        <v>393</v>
      </c>
      <c r="C152" s="773" t="s">
        <v>394</v>
      </c>
      <c r="D152" s="774"/>
      <c r="E152" s="775"/>
      <c r="F152" s="776"/>
      <c r="G152" s="775"/>
      <c r="H152" s="777"/>
      <c r="I152" s="775"/>
      <c r="P152" s="32"/>
      <c r="Q152" s="32"/>
      <c r="R152" s="32"/>
      <c r="S152" s="32"/>
      <c r="T152" s="32"/>
      <c r="U152" s="32"/>
    </row>
    <row r="153" spans="1:21" x14ac:dyDescent="0.2">
      <c r="P153" s="32"/>
      <c r="Q153" s="32"/>
      <c r="R153" s="32"/>
      <c r="S153" s="32"/>
      <c r="T153" s="32"/>
      <c r="U153" s="32"/>
    </row>
    <row r="154" spans="1:21" x14ac:dyDescent="0.2">
      <c r="P154" s="32"/>
      <c r="Q154" s="32"/>
      <c r="R154" s="32"/>
      <c r="S154" s="32"/>
      <c r="T154" s="32"/>
      <c r="U154" s="32"/>
    </row>
    <row r="155" spans="1:21" x14ac:dyDescent="0.2">
      <c r="P155" s="32"/>
      <c r="Q155" s="32"/>
      <c r="R155" s="32"/>
      <c r="S155" s="32"/>
      <c r="T155" s="32"/>
      <c r="U155" s="32"/>
    </row>
    <row r="156" spans="1:21" x14ac:dyDescent="0.2">
      <c r="P156" s="32"/>
      <c r="Q156" s="32"/>
      <c r="R156" s="32"/>
      <c r="S156" s="32"/>
      <c r="T156" s="32"/>
      <c r="U156" s="32"/>
    </row>
    <row r="157" spans="1:21" x14ac:dyDescent="0.2">
      <c r="P157" s="32"/>
      <c r="Q157" s="32"/>
      <c r="R157" s="32"/>
      <c r="S157" s="32"/>
      <c r="T157" s="32"/>
      <c r="U157" s="32"/>
    </row>
    <row r="158" spans="1:21" x14ac:dyDescent="0.2">
      <c r="P158" s="32"/>
      <c r="Q158" s="32"/>
      <c r="R158" s="32"/>
      <c r="S158" s="32"/>
      <c r="T158" s="32"/>
      <c r="U158" s="32"/>
    </row>
    <row r="159" spans="1:21" x14ac:dyDescent="0.2">
      <c r="P159" s="32"/>
      <c r="Q159" s="32"/>
      <c r="R159" s="32"/>
      <c r="S159" s="32"/>
      <c r="T159" s="32"/>
      <c r="U159" s="32"/>
    </row>
    <row r="160" spans="1:21" x14ac:dyDescent="0.2">
      <c r="P160" s="32"/>
      <c r="Q160" s="32"/>
      <c r="R160" s="32"/>
      <c r="S160" s="32"/>
      <c r="T160" s="32"/>
      <c r="U160" s="32"/>
    </row>
    <row r="161" spans="16:21" x14ac:dyDescent="0.2">
      <c r="P161" s="32"/>
      <c r="Q161" s="32"/>
      <c r="R161" s="32"/>
      <c r="S161" s="32"/>
      <c r="T161" s="32"/>
      <c r="U161" s="32"/>
    </row>
    <row r="162" spans="16:21" x14ac:dyDescent="0.2">
      <c r="P162" s="32"/>
      <c r="Q162" s="32"/>
      <c r="R162" s="32"/>
      <c r="S162" s="32"/>
      <c r="T162" s="32"/>
      <c r="U162" s="32"/>
    </row>
    <row r="163" spans="16:21" x14ac:dyDescent="0.2">
      <c r="P163" s="32"/>
      <c r="Q163" s="32"/>
      <c r="R163" s="32"/>
      <c r="S163" s="32"/>
      <c r="T163" s="32"/>
      <c r="U163" s="32"/>
    </row>
    <row r="164" spans="16:21" x14ac:dyDescent="0.2">
      <c r="P164" s="32"/>
      <c r="Q164" s="32"/>
      <c r="R164" s="32"/>
      <c r="S164" s="32"/>
      <c r="T164" s="32"/>
      <c r="U164" s="32"/>
    </row>
    <row r="165" spans="16:21" x14ac:dyDescent="0.2">
      <c r="P165" s="32"/>
      <c r="Q165" s="32"/>
      <c r="R165" s="32"/>
      <c r="S165" s="32"/>
      <c r="T165" s="32"/>
      <c r="U165" s="32"/>
    </row>
    <row r="166" spans="16:21" x14ac:dyDescent="0.2">
      <c r="P166" s="32"/>
      <c r="Q166" s="32"/>
      <c r="R166" s="32"/>
      <c r="S166" s="32"/>
      <c r="T166" s="32"/>
      <c r="U166" s="32"/>
    </row>
    <row r="167" spans="16:21" x14ac:dyDescent="0.2">
      <c r="P167" s="32"/>
      <c r="Q167" s="32"/>
      <c r="R167" s="32"/>
      <c r="S167" s="32"/>
      <c r="T167" s="32"/>
      <c r="U167" s="32"/>
    </row>
    <row r="168" spans="16:21" x14ac:dyDescent="0.2">
      <c r="P168" s="32"/>
      <c r="Q168" s="32"/>
      <c r="R168" s="32"/>
      <c r="S168" s="32"/>
      <c r="T168" s="32"/>
      <c r="U168" s="32"/>
    </row>
    <row r="169" spans="16:21" x14ac:dyDescent="0.2">
      <c r="P169" s="32"/>
      <c r="Q169" s="32"/>
      <c r="R169" s="32"/>
      <c r="S169" s="32"/>
      <c r="T169" s="32"/>
      <c r="U169" s="32"/>
    </row>
    <row r="170" spans="16:21" x14ac:dyDescent="0.2">
      <c r="P170" s="32"/>
      <c r="Q170" s="32"/>
      <c r="R170" s="32"/>
      <c r="S170" s="32"/>
      <c r="T170" s="32"/>
      <c r="U170" s="32"/>
    </row>
    <row r="171" spans="16:21" x14ac:dyDescent="0.2">
      <c r="P171" s="32"/>
      <c r="Q171" s="32"/>
      <c r="R171" s="32"/>
      <c r="S171" s="32"/>
      <c r="T171" s="32"/>
      <c r="U171" s="32"/>
    </row>
    <row r="172" spans="16:21" x14ac:dyDescent="0.2">
      <c r="P172" s="32"/>
      <c r="Q172" s="32"/>
      <c r="R172" s="32"/>
      <c r="S172" s="32"/>
      <c r="T172" s="32"/>
      <c r="U172" s="32"/>
    </row>
    <row r="173" spans="16:21" x14ac:dyDescent="0.2">
      <c r="P173" s="32"/>
      <c r="Q173" s="32"/>
      <c r="R173" s="32"/>
      <c r="S173" s="32"/>
      <c r="T173" s="32"/>
      <c r="U173" s="32"/>
    </row>
    <row r="174" spans="16:21" x14ac:dyDescent="0.2">
      <c r="P174" s="32"/>
      <c r="Q174" s="32"/>
      <c r="R174" s="32"/>
      <c r="S174" s="32"/>
      <c r="T174" s="32"/>
      <c r="U174" s="32"/>
    </row>
    <row r="175" spans="16:21" x14ac:dyDescent="0.2">
      <c r="P175" s="32"/>
      <c r="Q175" s="32"/>
      <c r="R175" s="32"/>
      <c r="S175" s="32"/>
      <c r="T175" s="32"/>
      <c r="U175" s="32"/>
    </row>
    <row r="176" spans="16:21" x14ac:dyDescent="0.2">
      <c r="P176" s="32"/>
      <c r="Q176" s="32"/>
      <c r="R176" s="32"/>
      <c r="S176" s="32"/>
      <c r="T176" s="32"/>
      <c r="U176" s="32"/>
    </row>
    <row r="177" spans="16:21" x14ac:dyDescent="0.2">
      <c r="P177" s="32"/>
      <c r="Q177" s="32"/>
      <c r="R177" s="32"/>
      <c r="S177" s="32"/>
      <c r="T177" s="32"/>
      <c r="U177" s="32"/>
    </row>
    <row r="178" spans="16:21" x14ac:dyDescent="0.2">
      <c r="P178" s="32"/>
      <c r="Q178" s="32"/>
      <c r="R178" s="32"/>
      <c r="S178" s="32"/>
      <c r="T178" s="32"/>
      <c r="U178" s="32"/>
    </row>
    <row r="179" spans="16:21" x14ac:dyDescent="0.2">
      <c r="P179" s="32"/>
      <c r="Q179" s="32"/>
      <c r="R179" s="32"/>
      <c r="S179" s="32"/>
      <c r="T179" s="32"/>
      <c r="U179" s="32"/>
    </row>
    <row r="180" spans="16:21" x14ac:dyDescent="0.2">
      <c r="P180" s="32"/>
      <c r="Q180" s="32"/>
      <c r="R180" s="32"/>
      <c r="S180" s="32"/>
      <c r="T180" s="32"/>
      <c r="U180" s="32"/>
    </row>
    <row r="181" spans="16:21" x14ac:dyDescent="0.2">
      <c r="P181" s="32"/>
      <c r="Q181" s="32"/>
      <c r="R181" s="32"/>
      <c r="S181" s="32"/>
      <c r="T181" s="32"/>
      <c r="U181" s="32"/>
    </row>
    <row r="182" spans="16:21" x14ac:dyDescent="0.2">
      <c r="P182" s="32"/>
      <c r="Q182" s="32"/>
      <c r="R182" s="32"/>
      <c r="S182" s="32"/>
      <c r="T182" s="32"/>
      <c r="U182" s="32"/>
    </row>
    <row r="183" spans="16:21" x14ac:dyDescent="0.2">
      <c r="P183" s="32"/>
      <c r="Q183" s="32"/>
      <c r="R183" s="32"/>
      <c r="S183" s="32"/>
      <c r="T183" s="32"/>
      <c r="U183" s="32"/>
    </row>
    <row r="184" spans="16:21" x14ac:dyDescent="0.2">
      <c r="P184" s="32"/>
      <c r="Q184" s="32"/>
      <c r="R184" s="32"/>
      <c r="S184" s="32"/>
      <c r="T184" s="32"/>
      <c r="U184" s="32"/>
    </row>
    <row r="185" spans="16:21" x14ac:dyDescent="0.2">
      <c r="P185" s="32"/>
      <c r="Q185" s="32"/>
      <c r="R185" s="32"/>
      <c r="S185" s="32"/>
      <c r="T185" s="32"/>
      <c r="U185" s="32"/>
    </row>
    <row r="186" spans="16:21" x14ac:dyDescent="0.2">
      <c r="P186" s="32"/>
      <c r="Q186" s="32"/>
      <c r="R186" s="32"/>
      <c r="S186" s="32"/>
      <c r="T186" s="32"/>
      <c r="U186" s="32"/>
    </row>
    <row r="187" spans="16:21" x14ac:dyDescent="0.2">
      <c r="P187" s="32"/>
      <c r="Q187" s="32"/>
      <c r="R187" s="32"/>
      <c r="S187" s="32"/>
      <c r="T187" s="32"/>
      <c r="U187" s="32"/>
    </row>
    <row r="188" spans="16:21" x14ac:dyDescent="0.2">
      <c r="P188" s="32"/>
      <c r="Q188" s="32"/>
      <c r="R188" s="32"/>
      <c r="S188" s="32"/>
      <c r="T188" s="32"/>
      <c r="U188" s="32"/>
    </row>
    <row r="189" spans="16:21" x14ac:dyDescent="0.2">
      <c r="P189" s="32"/>
      <c r="Q189" s="32"/>
      <c r="R189" s="32"/>
      <c r="S189" s="32"/>
      <c r="T189" s="32"/>
      <c r="U189" s="32"/>
    </row>
    <row r="190" spans="16:21" x14ac:dyDescent="0.2">
      <c r="P190" s="32"/>
      <c r="Q190" s="32"/>
      <c r="R190" s="32"/>
      <c r="S190" s="32"/>
      <c r="T190" s="32"/>
      <c r="U190" s="32"/>
    </row>
    <row r="191" spans="16:21" x14ac:dyDescent="0.2">
      <c r="P191" s="32"/>
      <c r="Q191" s="32"/>
      <c r="R191" s="32"/>
      <c r="S191" s="32"/>
      <c r="T191" s="32"/>
      <c r="U191" s="32"/>
    </row>
    <row r="192" spans="16:21" x14ac:dyDescent="0.2">
      <c r="P192" s="32"/>
      <c r="Q192" s="32"/>
      <c r="R192" s="32"/>
      <c r="S192" s="32"/>
      <c r="T192" s="32"/>
      <c r="U192" s="32"/>
    </row>
    <row r="193" spans="16:21" x14ac:dyDescent="0.2">
      <c r="P193" s="32"/>
      <c r="Q193" s="32"/>
      <c r="R193" s="32"/>
      <c r="S193" s="32"/>
      <c r="T193" s="32"/>
      <c r="U193" s="32"/>
    </row>
    <row r="194" spans="16:21" x14ac:dyDescent="0.2">
      <c r="P194" s="32"/>
      <c r="Q194" s="32"/>
      <c r="R194" s="32"/>
      <c r="S194" s="32"/>
      <c r="T194" s="32"/>
      <c r="U194" s="32"/>
    </row>
    <row r="195" spans="16:21" x14ac:dyDescent="0.2">
      <c r="P195" s="32"/>
      <c r="Q195" s="32"/>
      <c r="R195" s="32"/>
      <c r="S195" s="32"/>
      <c r="T195" s="32"/>
      <c r="U195" s="32"/>
    </row>
    <row r="196" spans="16:21" x14ac:dyDescent="0.2">
      <c r="P196" s="32"/>
      <c r="Q196" s="32"/>
      <c r="R196" s="32"/>
      <c r="S196" s="32"/>
      <c r="T196" s="32"/>
      <c r="U196" s="32"/>
    </row>
    <row r="197" spans="16:21" x14ac:dyDescent="0.2">
      <c r="P197" s="32"/>
      <c r="Q197" s="32"/>
      <c r="R197" s="32"/>
      <c r="S197" s="32"/>
      <c r="T197" s="32"/>
      <c r="U197" s="32"/>
    </row>
    <row r="198" spans="16:21" x14ac:dyDescent="0.2">
      <c r="P198" s="32"/>
      <c r="Q198" s="32"/>
      <c r="R198" s="32"/>
      <c r="S198" s="32"/>
      <c r="T198" s="32"/>
      <c r="U198" s="32"/>
    </row>
    <row r="199" spans="16:21" x14ac:dyDescent="0.2">
      <c r="P199" s="32"/>
      <c r="Q199" s="32"/>
      <c r="R199" s="32"/>
      <c r="S199" s="32"/>
      <c r="T199" s="32"/>
      <c r="U199" s="32"/>
    </row>
    <row r="200" spans="16:21" x14ac:dyDescent="0.2">
      <c r="P200" s="32"/>
      <c r="Q200" s="32"/>
      <c r="R200" s="32"/>
      <c r="S200" s="32"/>
      <c r="T200" s="32"/>
      <c r="U200" s="32"/>
    </row>
    <row r="201" spans="16:21" x14ac:dyDescent="0.2">
      <c r="P201" s="32"/>
      <c r="Q201" s="32"/>
      <c r="R201" s="32"/>
      <c r="S201" s="32"/>
      <c r="T201" s="32"/>
      <c r="U201" s="32"/>
    </row>
    <row r="202" spans="16:21" x14ac:dyDescent="0.2">
      <c r="P202" s="32"/>
      <c r="Q202" s="32"/>
      <c r="R202" s="32"/>
      <c r="S202" s="32"/>
      <c r="T202" s="32"/>
      <c r="U202" s="32"/>
    </row>
    <row r="203" spans="16:21" x14ac:dyDescent="0.2">
      <c r="P203" s="32"/>
      <c r="Q203" s="32"/>
      <c r="R203" s="32"/>
      <c r="S203" s="32"/>
      <c r="T203" s="32"/>
      <c r="U203" s="32"/>
    </row>
    <row r="204" spans="16:21" x14ac:dyDescent="0.2">
      <c r="P204" s="32"/>
      <c r="Q204" s="32"/>
      <c r="R204" s="32"/>
      <c r="S204" s="32"/>
      <c r="T204" s="32"/>
      <c r="U204" s="32"/>
    </row>
    <row r="205" spans="16:21" x14ac:dyDescent="0.2">
      <c r="P205" s="32"/>
      <c r="Q205" s="32"/>
      <c r="R205" s="32"/>
      <c r="S205" s="32"/>
      <c r="T205" s="32"/>
      <c r="U205" s="32"/>
    </row>
    <row r="206" spans="16:21" x14ac:dyDescent="0.2">
      <c r="P206" s="32"/>
      <c r="Q206" s="32"/>
      <c r="R206" s="32"/>
      <c r="S206" s="32"/>
      <c r="T206" s="32"/>
      <c r="U206" s="32"/>
    </row>
    <row r="207" spans="16:21" x14ac:dyDescent="0.2">
      <c r="P207" s="32"/>
      <c r="Q207" s="32"/>
      <c r="R207" s="32"/>
      <c r="S207" s="32"/>
      <c r="T207" s="32"/>
      <c r="U207" s="32"/>
    </row>
    <row r="208" spans="16:21" x14ac:dyDescent="0.2">
      <c r="P208" s="32"/>
      <c r="Q208" s="32"/>
      <c r="R208" s="32"/>
      <c r="S208" s="32"/>
      <c r="T208" s="32"/>
      <c r="U208" s="32"/>
    </row>
    <row r="209" spans="16:21" x14ac:dyDescent="0.2">
      <c r="P209" s="32"/>
      <c r="Q209" s="32"/>
      <c r="R209" s="32"/>
      <c r="S209" s="32"/>
      <c r="T209" s="32"/>
      <c r="U209" s="32"/>
    </row>
    <row r="210" spans="16:21" x14ac:dyDescent="0.2">
      <c r="P210" s="32"/>
      <c r="Q210" s="32"/>
      <c r="R210" s="32"/>
      <c r="S210" s="32"/>
      <c r="T210" s="32"/>
      <c r="U210" s="32"/>
    </row>
    <row r="211" spans="16:21" x14ac:dyDescent="0.2">
      <c r="P211" s="32"/>
      <c r="Q211" s="32"/>
      <c r="R211" s="32"/>
      <c r="S211" s="32"/>
      <c r="T211" s="32"/>
      <c r="U211" s="32"/>
    </row>
    <row r="212" spans="16:21" x14ac:dyDescent="0.2">
      <c r="P212" s="32"/>
      <c r="Q212" s="32"/>
      <c r="R212" s="32"/>
      <c r="S212" s="32"/>
      <c r="T212" s="32"/>
      <c r="U212" s="32"/>
    </row>
    <row r="213" spans="16:21" x14ac:dyDescent="0.2">
      <c r="P213" s="32"/>
      <c r="Q213" s="32"/>
      <c r="R213" s="32"/>
      <c r="S213" s="32"/>
      <c r="T213" s="32"/>
      <c r="U213" s="32"/>
    </row>
    <row r="214" spans="16:21" x14ac:dyDescent="0.2">
      <c r="P214" s="32"/>
      <c r="Q214" s="32"/>
      <c r="R214" s="32"/>
      <c r="S214" s="32"/>
      <c r="T214" s="32"/>
      <c r="U214" s="32"/>
    </row>
    <row r="215" spans="16:21" x14ac:dyDescent="0.2">
      <c r="P215" s="32"/>
      <c r="Q215" s="32"/>
      <c r="R215" s="32"/>
      <c r="S215" s="32"/>
      <c r="T215" s="32"/>
      <c r="U215" s="32"/>
    </row>
    <row r="216" spans="16:21" x14ac:dyDescent="0.2">
      <c r="P216" s="32"/>
      <c r="Q216" s="32"/>
      <c r="R216" s="32"/>
      <c r="S216" s="32"/>
      <c r="T216" s="32"/>
      <c r="U216" s="32"/>
    </row>
    <row r="217" spans="16:21" x14ac:dyDescent="0.2">
      <c r="P217" s="32"/>
      <c r="Q217" s="32"/>
      <c r="R217" s="32"/>
      <c r="S217" s="32"/>
      <c r="T217" s="32"/>
      <c r="U217" s="32"/>
    </row>
    <row r="218" spans="16:21" x14ac:dyDescent="0.2">
      <c r="P218" s="32"/>
      <c r="Q218" s="32"/>
      <c r="R218" s="32"/>
      <c r="S218" s="32"/>
      <c r="T218" s="32"/>
      <c r="U218" s="32"/>
    </row>
    <row r="219" spans="16:21" x14ac:dyDescent="0.2">
      <c r="P219" s="32"/>
      <c r="Q219" s="32"/>
      <c r="R219" s="32"/>
      <c r="S219" s="32"/>
      <c r="T219" s="32"/>
      <c r="U219" s="32"/>
    </row>
    <row r="220" spans="16:21" x14ac:dyDescent="0.2">
      <c r="P220" s="32"/>
      <c r="Q220" s="32"/>
      <c r="R220" s="32"/>
      <c r="S220" s="32"/>
      <c r="T220" s="32"/>
      <c r="U220" s="32"/>
    </row>
    <row r="221" spans="16:21" x14ac:dyDescent="0.2">
      <c r="P221" s="32"/>
      <c r="Q221" s="32"/>
      <c r="R221" s="32"/>
      <c r="S221" s="32"/>
      <c r="T221" s="32"/>
      <c r="U221" s="32"/>
    </row>
    <row r="222" spans="16:21" x14ac:dyDescent="0.2">
      <c r="P222" s="32"/>
      <c r="Q222" s="32"/>
      <c r="R222" s="32"/>
      <c r="S222" s="32"/>
      <c r="T222" s="32"/>
      <c r="U222" s="32"/>
    </row>
    <row r="223" spans="16:21" x14ac:dyDescent="0.2">
      <c r="P223" s="32"/>
      <c r="Q223" s="32"/>
      <c r="R223" s="32"/>
      <c r="S223" s="32"/>
      <c r="T223" s="32"/>
      <c r="U223" s="32"/>
    </row>
    <row r="224" spans="16:21" x14ac:dyDescent="0.2">
      <c r="P224" s="32"/>
      <c r="Q224" s="32"/>
      <c r="R224" s="32"/>
      <c r="S224" s="32"/>
      <c r="T224" s="32"/>
      <c r="U224" s="32"/>
    </row>
    <row r="225" spans="16:21" x14ac:dyDescent="0.2">
      <c r="P225" s="32"/>
      <c r="Q225" s="32"/>
      <c r="R225" s="32"/>
      <c r="S225" s="32"/>
      <c r="T225" s="32"/>
      <c r="U225" s="32"/>
    </row>
    <row r="226" spans="16:21" x14ac:dyDescent="0.2">
      <c r="P226" s="32"/>
      <c r="Q226" s="32"/>
      <c r="R226" s="32"/>
      <c r="S226" s="32"/>
      <c r="T226" s="32"/>
      <c r="U226" s="32"/>
    </row>
    <row r="227" spans="16:21" x14ac:dyDescent="0.2">
      <c r="P227" s="32"/>
      <c r="Q227" s="32"/>
      <c r="R227" s="32"/>
      <c r="S227" s="32"/>
      <c r="T227" s="32"/>
      <c r="U227" s="32"/>
    </row>
    <row r="228" spans="16:21" x14ac:dyDescent="0.2">
      <c r="P228" s="32"/>
      <c r="Q228" s="32"/>
      <c r="R228" s="32"/>
      <c r="S228" s="32"/>
      <c r="T228" s="32"/>
      <c r="U228" s="32"/>
    </row>
    <row r="229" spans="16:21" x14ac:dyDescent="0.2">
      <c r="P229" s="32"/>
      <c r="Q229" s="32"/>
      <c r="R229" s="32"/>
      <c r="S229" s="32"/>
      <c r="T229" s="32"/>
      <c r="U229" s="32"/>
    </row>
    <row r="230" spans="16:21" x14ac:dyDescent="0.2">
      <c r="P230" s="32"/>
      <c r="Q230" s="32"/>
      <c r="R230" s="32"/>
      <c r="S230" s="32"/>
      <c r="T230" s="32"/>
      <c r="U230" s="32"/>
    </row>
    <row r="231" spans="16:21" x14ac:dyDescent="0.2">
      <c r="P231" s="32"/>
      <c r="Q231" s="32"/>
      <c r="R231" s="32"/>
      <c r="S231" s="32"/>
      <c r="T231" s="32"/>
      <c r="U231" s="32"/>
    </row>
    <row r="232" spans="16:21" x14ac:dyDescent="0.2">
      <c r="P232" s="32"/>
      <c r="Q232" s="32"/>
      <c r="R232" s="32"/>
      <c r="S232" s="32"/>
      <c r="T232" s="32"/>
      <c r="U232" s="32"/>
    </row>
    <row r="233" spans="16:21" x14ac:dyDescent="0.2">
      <c r="P233" s="32"/>
      <c r="Q233" s="32"/>
      <c r="R233" s="32"/>
      <c r="S233" s="32"/>
      <c r="T233" s="32"/>
      <c r="U233" s="32"/>
    </row>
    <row r="234" spans="16:21" x14ac:dyDescent="0.2">
      <c r="P234" s="32"/>
      <c r="Q234" s="32"/>
      <c r="R234" s="32"/>
      <c r="S234" s="32"/>
      <c r="T234" s="32"/>
      <c r="U234" s="32"/>
    </row>
    <row r="235" spans="16:21" x14ac:dyDescent="0.2">
      <c r="P235" s="32"/>
      <c r="Q235" s="32"/>
      <c r="R235" s="32"/>
      <c r="S235" s="32"/>
      <c r="T235" s="32"/>
      <c r="U235" s="32"/>
    </row>
    <row r="236" spans="16:21" x14ac:dyDescent="0.2">
      <c r="P236" s="32"/>
      <c r="Q236" s="32"/>
      <c r="R236" s="32"/>
      <c r="S236" s="32"/>
      <c r="T236" s="32"/>
      <c r="U236" s="32"/>
    </row>
    <row r="237" spans="16:21" x14ac:dyDescent="0.2">
      <c r="P237" s="32"/>
      <c r="Q237" s="32"/>
      <c r="R237" s="32"/>
      <c r="S237" s="32"/>
      <c r="T237" s="32"/>
      <c r="U237" s="32"/>
    </row>
    <row r="238" spans="16:21" x14ac:dyDescent="0.2">
      <c r="P238" s="32"/>
      <c r="Q238" s="32"/>
      <c r="R238" s="32"/>
      <c r="S238" s="32"/>
      <c r="T238" s="32"/>
      <c r="U238" s="32"/>
    </row>
    <row r="239" spans="16:21" x14ac:dyDescent="0.2">
      <c r="P239" s="32"/>
      <c r="Q239" s="32"/>
      <c r="R239" s="32"/>
      <c r="S239" s="32"/>
      <c r="T239" s="32"/>
      <c r="U239" s="32"/>
    </row>
    <row r="240" spans="16:21" x14ac:dyDescent="0.2">
      <c r="P240" s="32"/>
      <c r="Q240" s="32"/>
      <c r="R240" s="32"/>
      <c r="S240" s="32"/>
      <c r="T240" s="32"/>
      <c r="U240" s="32"/>
    </row>
    <row r="241" spans="16:21" x14ac:dyDescent="0.2">
      <c r="P241" s="32"/>
      <c r="Q241" s="32"/>
      <c r="R241" s="32"/>
      <c r="S241" s="32"/>
      <c r="T241" s="32"/>
      <c r="U241" s="32"/>
    </row>
    <row r="242" spans="16:21" x14ac:dyDescent="0.2">
      <c r="P242" s="32"/>
      <c r="Q242" s="32"/>
      <c r="R242" s="32"/>
      <c r="S242" s="32"/>
      <c r="T242" s="32"/>
      <c r="U242" s="32"/>
    </row>
    <row r="243" spans="16:21" x14ac:dyDescent="0.2">
      <c r="P243" s="32"/>
      <c r="Q243" s="32"/>
      <c r="R243" s="32"/>
      <c r="S243" s="32"/>
      <c r="T243" s="32"/>
      <c r="U243" s="32"/>
    </row>
    <row r="244" spans="16:21" x14ac:dyDescent="0.2">
      <c r="P244" s="32"/>
      <c r="Q244" s="32"/>
      <c r="R244" s="32"/>
      <c r="S244" s="32"/>
      <c r="T244" s="32"/>
      <c r="U244" s="32"/>
    </row>
    <row r="245" spans="16:21" x14ac:dyDescent="0.2">
      <c r="P245" s="32"/>
      <c r="Q245" s="32"/>
      <c r="R245" s="32"/>
      <c r="S245" s="32"/>
      <c r="T245" s="32"/>
      <c r="U245" s="32"/>
    </row>
    <row r="246" spans="16:21" x14ac:dyDescent="0.2">
      <c r="P246" s="32"/>
      <c r="Q246" s="32"/>
      <c r="R246" s="32"/>
      <c r="S246" s="32"/>
      <c r="T246" s="32"/>
      <c r="U246" s="32"/>
    </row>
    <row r="247" spans="16:21" x14ac:dyDescent="0.2">
      <c r="P247" s="32"/>
      <c r="Q247" s="32"/>
      <c r="R247" s="32"/>
      <c r="S247" s="32"/>
      <c r="T247" s="32"/>
      <c r="U247" s="32"/>
    </row>
    <row r="248" spans="16:21" x14ac:dyDescent="0.2">
      <c r="P248" s="32"/>
      <c r="Q248" s="32"/>
      <c r="R248" s="32"/>
      <c r="S248" s="32"/>
      <c r="T248" s="32"/>
      <c r="U248" s="32"/>
    </row>
    <row r="249" spans="16:21" x14ac:dyDescent="0.2">
      <c r="P249" s="32"/>
      <c r="Q249" s="32"/>
      <c r="R249" s="32"/>
      <c r="S249" s="32"/>
      <c r="T249" s="32"/>
      <c r="U249" s="32"/>
    </row>
    <row r="250" spans="16:21" x14ac:dyDescent="0.2">
      <c r="P250" s="32"/>
      <c r="Q250" s="32"/>
      <c r="R250" s="32"/>
      <c r="S250" s="32"/>
      <c r="T250" s="32"/>
      <c r="U250" s="32"/>
    </row>
    <row r="251" spans="16:21" x14ac:dyDescent="0.2">
      <c r="P251" s="32"/>
      <c r="Q251" s="32"/>
      <c r="R251" s="32"/>
      <c r="S251" s="32"/>
      <c r="T251" s="32"/>
      <c r="U251" s="32"/>
    </row>
    <row r="252" spans="16:21" x14ac:dyDescent="0.2">
      <c r="P252" s="32"/>
      <c r="Q252" s="32"/>
      <c r="R252" s="32"/>
      <c r="S252" s="32"/>
      <c r="T252" s="32"/>
      <c r="U252" s="32"/>
    </row>
    <row r="253" spans="16:21" x14ac:dyDescent="0.2">
      <c r="P253" s="32"/>
      <c r="Q253" s="32"/>
      <c r="R253" s="32"/>
      <c r="S253" s="32"/>
      <c r="T253" s="32"/>
      <c r="U253" s="32"/>
    </row>
    <row r="254" spans="16:21" x14ac:dyDescent="0.2">
      <c r="P254" s="32"/>
      <c r="Q254" s="32"/>
      <c r="R254" s="32"/>
      <c r="S254" s="32"/>
      <c r="T254" s="32"/>
      <c r="U254" s="32"/>
    </row>
    <row r="255" spans="16:21" x14ac:dyDescent="0.2">
      <c r="P255" s="32"/>
      <c r="Q255" s="32"/>
      <c r="R255" s="32"/>
      <c r="S255" s="32"/>
      <c r="T255" s="32"/>
      <c r="U255" s="32"/>
    </row>
    <row r="256" spans="16:21" x14ac:dyDescent="0.2">
      <c r="P256" s="32"/>
      <c r="Q256" s="32"/>
      <c r="R256" s="32"/>
      <c r="S256" s="32"/>
      <c r="T256" s="32"/>
      <c r="U256" s="32"/>
    </row>
    <row r="257" spans="16:21" x14ac:dyDescent="0.2">
      <c r="P257" s="32"/>
      <c r="Q257" s="32"/>
      <c r="R257" s="32"/>
      <c r="S257" s="32"/>
      <c r="T257" s="32"/>
      <c r="U257" s="32"/>
    </row>
    <row r="258" spans="16:21" x14ac:dyDescent="0.2">
      <c r="P258" s="32"/>
      <c r="Q258" s="32"/>
      <c r="R258" s="32"/>
      <c r="S258" s="32"/>
      <c r="T258" s="32"/>
      <c r="U258" s="32"/>
    </row>
    <row r="259" spans="16:21" x14ac:dyDescent="0.2">
      <c r="P259" s="32"/>
      <c r="Q259" s="32"/>
      <c r="R259" s="32"/>
      <c r="S259" s="32"/>
      <c r="T259" s="32"/>
      <c r="U259" s="32"/>
    </row>
    <row r="260" spans="16:21" x14ac:dyDescent="0.2">
      <c r="P260" s="32"/>
      <c r="Q260" s="32"/>
      <c r="R260" s="32"/>
      <c r="S260" s="32"/>
      <c r="T260" s="32"/>
      <c r="U260" s="32"/>
    </row>
    <row r="261" spans="16:21" x14ac:dyDescent="0.2">
      <c r="P261" s="32"/>
      <c r="Q261" s="32"/>
      <c r="R261" s="32"/>
      <c r="S261" s="32"/>
      <c r="T261" s="32"/>
      <c r="U261" s="32"/>
    </row>
    <row r="262" spans="16:21" x14ac:dyDescent="0.2">
      <c r="P262" s="32"/>
      <c r="Q262" s="32"/>
      <c r="R262" s="32"/>
      <c r="S262" s="32"/>
      <c r="T262" s="32"/>
      <c r="U262" s="32"/>
    </row>
    <row r="263" spans="16:21" x14ac:dyDescent="0.2">
      <c r="P263" s="32"/>
      <c r="Q263" s="32"/>
      <c r="R263" s="32"/>
      <c r="S263" s="32"/>
      <c r="T263" s="32"/>
      <c r="U263" s="32"/>
    </row>
    <row r="264" spans="16:21" x14ac:dyDescent="0.2">
      <c r="P264" s="32"/>
      <c r="Q264" s="32"/>
      <c r="R264" s="32"/>
      <c r="S264" s="32"/>
      <c r="T264" s="32"/>
      <c r="U264" s="32"/>
    </row>
    <row r="265" spans="16:21" x14ac:dyDescent="0.2">
      <c r="P265" s="32"/>
      <c r="Q265" s="32"/>
      <c r="R265" s="32"/>
      <c r="S265" s="32"/>
      <c r="T265" s="32"/>
      <c r="U265" s="32"/>
    </row>
    <row r="266" spans="16:21" x14ac:dyDescent="0.2">
      <c r="P266" s="32"/>
      <c r="Q266" s="32"/>
      <c r="R266" s="32"/>
      <c r="S266" s="32"/>
      <c r="T266" s="32"/>
      <c r="U266" s="32"/>
    </row>
    <row r="267" spans="16:21" x14ac:dyDescent="0.2">
      <c r="P267" s="32"/>
      <c r="Q267" s="32"/>
      <c r="R267" s="32"/>
      <c r="S267" s="32"/>
      <c r="T267" s="32"/>
      <c r="U267" s="32"/>
    </row>
    <row r="268" spans="16:21" x14ac:dyDescent="0.2">
      <c r="P268" s="32"/>
      <c r="Q268" s="32"/>
      <c r="R268" s="32"/>
      <c r="S268" s="32"/>
      <c r="T268" s="32"/>
      <c r="U268" s="32"/>
    </row>
    <row r="269" spans="16:21" x14ac:dyDescent="0.2">
      <c r="P269" s="32"/>
      <c r="Q269" s="32"/>
      <c r="R269" s="32"/>
      <c r="S269" s="32"/>
      <c r="T269" s="32"/>
      <c r="U269" s="32"/>
    </row>
    <row r="270" spans="16:21" x14ac:dyDescent="0.2">
      <c r="P270" s="32"/>
      <c r="Q270" s="32"/>
      <c r="R270" s="32"/>
      <c r="S270" s="32"/>
      <c r="T270" s="32"/>
      <c r="U270" s="32"/>
    </row>
    <row r="271" spans="16:21" x14ac:dyDescent="0.2">
      <c r="P271" s="32"/>
      <c r="Q271" s="32"/>
      <c r="R271" s="32"/>
      <c r="S271" s="32"/>
      <c r="T271" s="32"/>
      <c r="U271" s="32"/>
    </row>
    <row r="272" spans="16:21" x14ac:dyDescent="0.2">
      <c r="P272" s="32"/>
      <c r="Q272" s="32"/>
      <c r="R272" s="32"/>
      <c r="S272" s="32"/>
      <c r="T272" s="32"/>
      <c r="U272" s="32"/>
    </row>
    <row r="273" spans="16:21" x14ac:dyDescent="0.2">
      <c r="P273" s="32"/>
      <c r="Q273" s="32"/>
      <c r="R273" s="32"/>
      <c r="S273" s="32"/>
      <c r="T273" s="32"/>
      <c r="U273" s="32"/>
    </row>
    <row r="274" spans="16:21" x14ac:dyDescent="0.2">
      <c r="P274" s="32"/>
      <c r="Q274" s="32"/>
      <c r="R274" s="32"/>
      <c r="S274" s="32"/>
      <c r="T274" s="32"/>
      <c r="U274" s="32"/>
    </row>
    <row r="275" spans="16:21" x14ac:dyDescent="0.2">
      <c r="P275" s="32"/>
      <c r="Q275" s="32"/>
      <c r="R275" s="32"/>
      <c r="S275" s="32"/>
      <c r="T275" s="32"/>
      <c r="U275" s="32"/>
    </row>
    <row r="276" spans="16:21" x14ac:dyDescent="0.2">
      <c r="P276" s="32"/>
      <c r="Q276" s="32"/>
      <c r="R276" s="32"/>
      <c r="S276" s="32"/>
      <c r="T276" s="32"/>
      <c r="U276" s="32"/>
    </row>
    <row r="277" spans="16:21" x14ac:dyDescent="0.2">
      <c r="P277" s="32"/>
      <c r="Q277" s="32"/>
      <c r="R277" s="32"/>
      <c r="S277" s="32"/>
      <c r="T277" s="32"/>
      <c r="U277" s="32"/>
    </row>
    <row r="278" spans="16:21" x14ac:dyDescent="0.2">
      <c r="P278" s="32"/>
      <c r="Q278" s="32"/>
      <c r="R278" s="32"/>
      <c r="S278" s="32"/>
      <c r="T278" s="32"/>
      <c r="U278" s="32"/>
    </row>
    <row r="279" spans="16:21" x14ac:dyDescent="0.2">
      <c r="P279" s="32"/>
      <c r="Q279" s="32"/>
      <c r="R279" s="32"/>
      <c r="S279" s="32"/>
      <c r="T279" s="32"/>
      <c r="U279" s="32"/>
    </row>
    <row r="280" spans="16:21" x14ac:dyDescent="0.2">
      <c r="P280" s="32"/>
      <c r="Q280" s="32"/>
      <c r="R280" s="32"/>
      <c r="S280" s="32"/>
      <c r="T280" s="32"/>
      <c r="U280" s="32"/>
    </row>
    <row r="281" spans="16:21" x14ac:dyDescent="0.2">
      <c r="P281" s="32"/>
      <c r="Q281" s="32"/>
      <c r="R281" s="32"/>
      <c r="S281" s="32"/>
      <c r="T281" s="32"/>
      <c r="U281" s="32"/>
    </row>
    <row r="282" spans="16:21" x14ac:dyDescent="0.2">
      <c r="P282" s="32"/>
      <c r="Q282" s="32"/>
      <c r="R282" s="32"/>
      <c r="S282" s="32"/>
      <c r="T282" s="32"/>
      <c r="U282" s="32"/>
    </row>
    <row r="283" spans="16:21" x14ac:dyDescent="0.2">
      <c r="P283" s="32"/>
      <c r="Q283" s="32"/>
      <c r="R283" s="32"/>
      <c r="S283" s="32"/>
      <c r="T283" s="32"/>
      <c r="U283" s="32"/>
    </row>
    <row r="284" spans="16:21" x14ac:dyDescent="0.2">
      <c r="P284" s="32"/>
      <c r="Q284" s="32"/>
      <c r="R284" s="32"/>
      <c r="S284" s="32"/>
      <c r="T284" s="32"/>
      <c r="U284" s="32"/>
    </row>
    <row r="285" spans="16:21" x14ac:dyDescent="0.2">
      <c r="P285" s="32"/>
      <c r="Q285" s="32"/>
      <c r="R285" s="32"/>
      <c r="S285" s="32"/>
      <c r="T285" s="32"/>
      <c r="U285" s="32"/>
    </row>
    <row r="286" spans="16:21" x14ac:dyDescent="0.2">
      <c r="P286" s="32"/>
      <c r="Q286" s="32"/>
      <c r="R286" s="32"/>
      <c r="S286" s="32"/>
      <c r="T286" s="32"/>
      <c r="U286" s="32"/>
    </row>
    <row r="287" spans="16:21" x14ac:dyDescent="0.2">
      <c r="P287" s="32"/>
      <c r="Q287" s="32"/>
      <c r="R287" s="32"/>
      <c r="S287" s="32"/>
      <c r="T287" s="32"/>
      <c r="U287" s="32"/>
    </row>
    <row r="288" spans="16:21" x14ac:dyDescent="0.2">
      <c r="P288" s="32"/>
      <c r="Q288" s="32"/>
      <c r="R288" s="32"/>
      <c r="S288" s="32"/>
      <c r="T288" s="32"/>
      <c r="U288" s="32"/>
    </row>
    <row r="289" spans="16:21" x14ac:dyDescent="0.2">
      <c r="P289" s="32"/>
      <c r="Q289" s="32"/>
      <c r="R289" s="32"/>
      <c r="S289" s="32"/>
      <c r="T289" s="32"/>
      <c r="U289" s="32"/>
    </row>
    <row r="290" spans="16:21" x14ac:dyDescent="0.2">
      <c r="P290" s="32"/>
      <c r="Q290" s="32"/>
      <c r="R290" s="32"/>
      <c r="S290" s="32"/>
      <c r="T290" s="32"/>
      <c r="U290" s="32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56"/>
  <sheetViews>
    <sheetView zoomScale="90" zoomScaleNormal="90" workbookViewId="0">
      <pane xSplit="3" ySplit="10" topLeftCell="D136" activePane="bottomRight" state="frozen"/>
      <selection pane="topRight" activeCell="D1" sqref="D1"/>
      <selection pane="bottomLeft" activeCell="A11" sqref="A11"/>
      <selection pane="bottomRight" activeCell="B154" sqref="B154"/>
    </sheetView>
  </sheetViews>
  <sheetFormatPr defaultRowHeight="12" x14ac:dyDescent="0.25"/>
  <cols>
    <col min="1" max="1" width="6.28515625" style="147" customWidth="1"/>
    <col min="2" max="2" width="9.5703125" style="147" customWidth="1"/>
    <col min="3" max="3" width="29.42578125" style="148" customWidth="1"/>
    <col min="4" max="4" width="12.42578125" style="149" customWidth="1"/>
    <col min="5" max="5" width="11.42578125" style="149" customWidth="1"/>
    <col min="6" max="6" width="12.28515625" style="149" customWidth="1"/>
    <col min="7" max="7" width="11.42578125" style="149" customWidth="1"/>
    <col min="8" max="8" width="14.140625" style="150" customWidth="1"/>
    <col min="9" max="9" width="11.42578125" style="150" customWidth="1"/>
    <col min="10" max="10" width="10.140625" style="150" customWidth="1"/>
    <col min="11" max="12" width="10.28515625" style="149" customWidth="1"/>
    <col min="13" max="13" width="10.85546875" style="149" customWidth="1"/>
    <col min="14" max="14" width="11.42578125" style="150" customWidth="1"/>
    <col min="15" max="16384" width="9.140625" style="147"/>
  </cols>
  <sheetData>
    <row r="1" spans="1:14" ht="15.75" x14ac:dyDescent="0.25">
      <c r="A1" s="1162" t="s">
        <v>612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</row>
    <row r="2" spans="1:14" ht="12.75" thickBot="1" x14ac:dyDescent="0.3"/>
    <row r="3" spans="1:14" s="145" customFormat="1" ht="17.25" customHeight="1" x14ac:dyDescent="0.25">
      <c r="A3" s="1202" t="s">
        <v>0</v>
      </c>
      <c r="B3" s="1205" t="s">
        <v>603</v>
      </c>
      <c r="C3" s="1208" t="s">
        <v>292</v>
      </c>
      <c r="D3" s="1211" t="s">
        <v>613</v>
      </c>
      <c r="E3" s="1197"/>
      <c r="F3" s="1197"/>
      <c r="G3" s="1197"/>
      <c r="H3" s="1197"/>
      <c r="I3" s="1197"/>
      <c r="J3" s="1212"/>
      <c r="K3" s="1196" t="s">
        <v>614</v>
      </c>
      <c r="L3" s="1196"/>
      <c r="M3" s="1197"/>
      <c r="N3" s="1198"/>
    </row>
    <row r="4" spans="1:14" s="144" customFormat="1" ht="34.5" customHeight="1" x14ac:dyDescent="0.25">
      <c r="A4" s="1203"/>
      <c r="B4" s="1206"/>
      <c r="C4" s="1209"/>
      <c r="D4" s="1213" t="s">
        <v>615</v>
      </c>
      <c r="E4" s="1214"/>
      <c r="F4" s="1214" t="s">
        <v>616</v>
      </c>
      <c r="G4" s="1214"/>
      <c r="H4" s="1215" t="s">
        <v>617</v>
      </c>
      <c r="I4" s="1215"/>
      <c r="J4" s="1201"/>
      <c r="K4" s="919" t="s">
        <v>757</v>
      </c>
      <c r="L4" s="919" t="s">
        <v>758</v>
      </c>
      <c r="M4" s="921" t="s">
        <v>759</v>
      </c>
      <c r="N4" s="524" t="s">
        <v>6</v>
      </c>
    </row>
    <row r="5" spans="1:14" s="144" customFormat="1" ht="110.25" customHeight="1" x14ac:dyDescent="0.25">
      <c r="A5" s="1204"/>
      <c r="B5" s="1207"/>
      <c r="C5" s="1210"/>
      <c r="D5" s="920" t="s">
        <v>618</v>
      </c>
      <c r="E5" s="921" t="s">
        <v>619</v>
      </c>
      <c r="F5" s="921" t="s">
        <v>618</v>
      </c>
      <c r="G5" s="921" t="s">
        <v>619</v>
      </c>
      <c r="H5" s="922" t="s">
        <v>618</v>
      </c>
      <c r="I5" s="922" t="s">
        <v>619</v>
      </c>
      <c r="J5" s="524" t="s">
        <v>620</v>
      </c>
      <c r="K5" s="1199" t="s">
        <v>621</v>
      </c>
      <c r="L5" s="1199"/>
      <c r="M5" s="1200"/>
      <c r="N5" s="1201"/>
    </row>
    <row r="6" spans="1:14" s="144" customFormat="1" ht="12.75" customHeight="1" thickBot="1" x14ac:dyDescent="0.3">
      <c r="A6" s="396">
        <v>1</v>
      </c>
      <c r="B6" s="397">
        <v>2</v>
      </c>
      <c r="C6" s="398">
        <v>3</v>
      </c>
      <c r="D6" s="399">
        <v>4</v>
      </c>
      <c r="E6" s="400">
        <v>5</v>
      </c>
      <c r="F6" s="400">
        <v>6</v>
      </c>
      <c r="G6" s="400">
        <v>7</v>
      </c>
      <c r="H6" s="400">
        <v>8</v>
      </c>
      <c r="I6" s="400">
        <v>9</v>
      </c>
      <c r="J6" s="401">
        <v>10</v>
      </c>
      <c r="K6" s="525">
        <v>11</v>
      </c>
      <c r="L6" s="525">
        <v>12</v>
      </c>
      <c r="M6" s="526">
        <v>13</v>
      </c>
      <c r="N6" s="527">
        <v>14</v>
      </c>
    </row>
    <row r="7" spans="1:14" ht="14.25" customHeight="1" x14ac:dyDescent="0.25">
      <c r="A7" s="1182" t="s">
        <v>6</v>
      </c>
      <c r="B7" s="1183"/>
      <c r="C7" s="1184"/>
      <c r="D7" s="402">
        <f>SUM(D8:D10)</f>
        <v>73687</v>
      </c>
      <c r="E7" s="403">
        <f t="shared" ref="E7:N7" si="0">SUM(E8:E10)</f>
        <v>11369</v>
      </c>
      <c r="F7" s="403">
        <f t="shared" si="0"/>
        <v>73655</v>
      </c>
      <c r="G7" s="403">
        <f t="shared" si="0"/>
        <v>11354</v>
      </c>
      <c r="H7" s="403">
        <f t="shared" si="0"/>
        <v>147342</v>
      </c>
      <c r="I7" s="403">
        <f t="shared" si="0"/>
        <v>22723</v>
      </c>
      <c r="J7" s="404">
        <f t="shared" si="0"/>
        <v>170065</v>
      </c>
      <c r="K7" s="405">
        <f t="shared" si="0"/>
        <v>50490</v>
      </c>
      <c r="L7" s="405">
        <f t="shared" si="0"/>
        <v>102630</v>
      </c>
      <c r="M7" s="403">
        <f t="shared" si="0"/>
        <v>149820</v>
      </c>
      <c r="N7" s="404">
        <f t="shared" si="0"/>
        <v>302940</v>
      </c>
    </row>
    <row r="8" spans="1:14" ht="14.25" customHeight="1" x14ac:dyDescent="0.25">
      <c r="A8" s="1185" t="s">
        <v>14</v>
      </c>
      <c r="B8" s="1186"/>
      <c r="C8" s="1187"/>
      <c r="D8" s="406"/>
      <c r="E8" s="407"/>
      <c r="F8" s="407"/>
      <c r="G8" s="407"/>
      <c r="H8" s="152">
        <f>D8+F8</f>
        <v>0</v>
      </c>
      <c r="I8" s="152">
        <f>E8+G8</f>
        <v>0</v>
      </c>
      <c r="J8" s="528">
        <f>H8+I8</f>
        <v>0</v>
      </c>
      <c r="K8" s="649"/>
      <c r="L8" s="649"/>
      <c r="M8" s="151"/>
      <c r="N8" s="528">
        <f t="shared" ref="N8:N9" si="1">K8+M8</f>
        <v>0</v>
      </c>
    </row>
    <row r="9" spans="1:14" ht="14.25" customHeight="1" x14ac:dyDescent="0.25">
      <c r="A9" s="1185" t="s">
        <v>445</v>
      </c>
      <c r="B9" s="1186"/>
      <c r="C9" s="1188"/>
      <c r="D9" s="691"/>
      <c r="E9" s="699"/>
      <c r="F9" s="699"/>
      <c r="G9" s="699">
        <f>2877-2877</f>
        <v>0</v>
      </c>
      <c r="H9" s="152">
        <f>D9+F9</f>
        <v>0</v>
      </c>
      <c r="I9" s="152">
        <f>E9+G9</f>
        <v>0</v>
      </c>
      <c r="J9" s="700">
        <f>H9+I9</f>
        <v>0</v>
      </c>
      <c r="K9" s="531"/>
      <c r="L9" s="649"/>
      <c r="M9" s="152">
        <v>9900</v>
      </c>
      <c r="N9" s="528">
        <f t="shared" si="1"/>
        <v>9900</v>
      </c>
    </row>
    <row r="10" spans="1:14" s="530" customFormat="1" x14ac:dyDescent="0.25">
      <c r="A10" s="1185" t="s">
        <v>15</v>
      </c>
      <c r="B10" s="1186"/>
      <c r="C10" s="1188"/>
      <c r="D10" s="672">
        <f>SUM(D11:D154)</f>
        <v>73687</v>
      </c>
      <c r="E10" s="152">
        <f t="shared" ref="E10:N10" si="2">SUM(E11:E154)</f>
        <v>11369</v>
      </c>
      <c r="F10" s="152">
        <f t="shared" si="2"/>
        <v>73655</v>
      </c>
      <c r="G10" s="152">
        <f t="shared" si="2"/>
        <v>11354</v>
      </c>
      <c r="H10" s="152">
        <f t="shared" si="2"/>
        <v>147342</v>
      </c>
      <c r="I10" s="152">
        <f t="shared" si="2"/>
        <v>22723</v>
      </c>
      <c r="J10" s="700">
        <f t="shared" si="2"/>
        <v>170065</v>
      </c>
      <c r="K10" s="529">
        <f t="shared" si="2"/>
        <v>50490</v>
      </c>
      <c r="L10" s="152">
        <f t="shared" si="2"/>
        <v>102630</v>
      </c>
      <c r="M10" s="152">
        <f t="shared" si="2"/>
        <v>139920</v>
      </c>
      <c r="N10" s="528">
        <f t="shared" si="2"/>
        <v>293040</v>
      </c>
    </row>
    <row r="11" spans="1:14" x14ac:dyDescent="0.25">
      <c r="A11" s="923">
        <v>1</v>
      </c>
      <c r="B11" s="408" t="s">
        <v>16</v>
      </c>
      <c r="C11" s="648" t="s">
        <v>17</v>
      </c>
      <c r="D11" s="649"/>
      <c r="E11" s="151"/>
      <c r="F11" s="151"/>
      <c r="G11" s="151"/>
      <c r="H11" s="152">
        <f>D11+F11</f>
        <v>0</v>
      </c>
      <c r="I11" s="152">
        <f>E11+G11</f>
        <v>0</v>
      </c>
      <c r="J11" s="700">
        <f>H11+I11</f>
        <v>0</v>
      </c>
      <c r="K11" s="531">
        <v>550</v>
      </c>
      <c r="L11" s="649">
        <v>1100</v>
      </c>
      <c r="M11" s="151">
        <v>1650</v>
      </c>
      <c r="N11" s="528">
        <f>K11+L11+M11</f>
        <v>3300</v>
      </c>
    </row>
    <row r="12" spans="1:14" x14ac:dyDescent="0.25">
      <c r="A12" s="923">
        <v>2</v>
      </c>
      <c r="B12" s="408" t="s">
        <v>18</v>
      </c>
      <c r="C12" s="648" t="s">
        <v>19</v>
      </c>
      <c r="D12" s="649">
        <v>993</v>
      </c>
      <c r="E12" s="151">
        <v>101</v>
      </c>
      <c r="F12" s="151">
        <v>992</v>
      </c>
      <c r="G12" s="151">
        <v>101</v>
      </c>
      <c r="H12" s="152">
        <f t="shared" ref="H12:I75" si="3">D12+F12</f>
        <v>1985</v>
      </c>
      <c r="I12" s="152">
        <f t="shared" si="3"/>
        <v>202</v>
      </c>
      <c r="J12" s="700">
        <f t="shared" ref="J12:J75" si="4">H12+I12</f>
        <v>2187</v>
      </c>
      <c r="K12" s="531">
        <v>550</v>
      </c>
      <c r="L12" s="649">
        <v>1100</v>
      </c>
      <c r="M12" s="151">
        <v>1650</v>
      </c>
      <c r="N12" s="528">
        <f t="shared" ref="N12:N75" si="5">K12+L12+M12</f>
        <v>3300</v>
      </c>
    </row>
    <row r="13" spans="1:14" x14ac:dyDescent="0.25">
      <c r="A13" s="923">
        <v>3</v>
      </c>
      <c r="B13" s="410" t="s">
        <v>20</v>
      </c>
      <c r="C13" s="411" t="s">
        <v>21</v>
      </c>
      <c r="D13" s="531">
        <v>1124</v>
      </c>
      <c r="E13" s="151">
        <v>229</v>
      </c>
      <c r="F13" s="151">
        <v>1124</v>
      </c>
      <c r="G13" s="151">
        <v>228</v>
      </c>
      <c r="H13" s="152">
        <f t="shared" si="3"/>
        <v>2248</v>
      </c>
      <c r="I13" s="152">
        <f t="shared" si="3"/>
        <v>457</v>
      </c>
      <c r="J13" s="700">
        <f t="shared" si="4"/>
        <v>2705</v>
      </c>
      <c r="K13" s="531">
        <v>880</v>
      </c>
      <c r="L13" s="649">
        <v>1760</v>
      </c>
      <c r="M13" s="151">
        <v>2640</v>
      </c>
      <c r="N13" s="528">
        <f t="shared" si="5"/>
        <v>5280</v>
      </c>
    </row>
    <row r="14" spans="1:14" x14ac:dyDescent="0.25">
      <c r="A14" s="923">
        <v>4</v>
      </c>
      <c r="B14" s="408" t="s">
        <v>22</v>
      </c>
      <c r="C14" s="409" t="s">
        <v>23</v>
      </c>
      <c r="D14" s="531">
        <v>574</v>
      </c>
      <c r="E14" s="151"/>
      <c r="F14" s="151">
        <v>573</v>
      </c>
      <c r="G14" s="151"/>
      <c r="H14" s="152">
        <f t="shared" si="3"/>
        <v>1147</v>
      </c>
      <c r="I14" s="152">
        <f t="shared" si="3"/>
        <v>0</v>
      </c>
      <c r="J14" s="528">
        <f t="shared" si="4"/>
        <v>1147</v>
      </c>
      <c r="K14" s="649">
        <v>550</v>
      </c>
      <c r="L14" s="649">
        <v>1100</v>
      </c>
      <c r="M14" s="151">
        <v>1650</v>
      </c>
      <c r="N14" s="528">
        <f t="shared" si="5"/>
        <v>3300</v>
      </c>
    </row>
    <row r="15" spans="1:14" ht="11.25" customHeight="1" x14ac:dyDescent="0.25">
      <c r="A15" s="923">
        <v>5</v>
      </c>
      <c r="B15" s="408" t="s">
        <v>24</v>
      </c>
      <c r="C15" s="409" t="s">
        <v>25</v>
      </c>
      <c r="D15" s="531"/>
      <c r="E15" s="151"/>
      <c r="F15" s="151"/>
      <c r="G15" s="151"/>
      <c r="H15" s="152">
        <f t="shared" si="3"/>
        <v>0</v>
      </c>
      <c r="I15" s="152">
        <f t="shared" si="3"/>
        <v>0</v>
      </c>
      <c r="J15" s="528">
        <f t="shared" si="4"/>
        <v>0</v>
      </c>
      <c r="K15" s="649">
        <v>550</v>
      </c>
      <c r="L15" s="649">
        <v>1100</v>
      </c>
      <c r="M15" s="151">
        <v>1650</v>
      </c>
      <c r="N15" s="528">
        <f t="shared" si="5"/>
        <v>3300</v>
      </c>
    </row>
    <row r="16" spans="1:14" x14ac:dyDescent="0.25">
      <c r="A16" s="923">
        <v>6</v>
      </c>
      <c r="B16" s="410" t="s">
        <v>26</v>
      </c>
      <c r="C16" s="411" t="s">
        <v>27</v>
      </c>
      <c r="D16" s="531">
        <v>2106</v>
      </c>
      <c r="E16" s="151">
        <f>528-107</f>
        <v>421</v>
      </c>
      <c r="F16" s="151">
        <v>2106</v>
      </c>
      <c r="G16" s="151">
        <f>527-393</f>
        <v>134</v>
      </c>
      <c r="H16" s="152">
        <f t="shared" si="3"/>
        <v>4212</v>
      </c>
      <c r="I16" s="152">
        <f t="shared" si="3"/>
        <v>555</v>
      </c>
      <c r="J16" s="528">
        <f t="shared" si="4"/>
        <v>4767</v>
      </c>
      <c r="K16" s="649">
        <v>1430</v>
      </c>
      <c r="L16" s="649">
        <f>2860-1187</f>
        <v>1673</v>
      </c>
      <c r="M16" s="151">
        <v>3465</v>
      </c>
      <c r="N16" s="528">
        <f t="shared" si="5"/>
        <v>6568</v>
      </c>
    </row>
    <row r="17" spans="1:14" x14ac:dyDescent="0.25">
      <c r="A17" s="923">
        <v>7</v>
      </c>
      <c r="B17" s="701" t="s">
        <v>28</v>
      </c>
      <c r="C17" s="412" t="s">
        <v>29</v>
      </c>
      <c r="D17" s="531">
        <v>1707</v>
      </c>
      <c r="E17" s="151">
        <v>249</v>
      </c>
      <c r="F17" s="151">
        <v>1707</v>
      </c>
      <c r="G17" s="151">
        <v>249</v>
      </c>
      <c r="H17" s="152">
        <f t="shared" si="3"/>
        <v>3414</v>
      </c>
      <c r="I17" s="152">
        <f t="shared" si="3"/>
        <v>498</v>
      </c>
      <c r="J17" s="528">
        <f t="shared" si="4"/>
        <v>3912</v>
      </c>
      <c r="K17" s="649">
        <v>550</v>
      </c>
      <c r="L17" s="649">
        <v>1100</v>
      </c>
      <c r="M17" s="151">
        <v>1650</v>
      </c>
      <c r="N17" s="528">
        <f t="shared" si="5"/>
        <v>3300</v>
      </c>
    </row>
    <row r="18" spans="1:14" x14ac:dyDescent="0.25">
      <c r="A18" s="923">
        <v>8</v>
      </c>
      <c r="B18" s="410" t="s">
        <v>30</v>
      </c>
      <c r="C18" s="411" t="s">
        <v>31</v>
      </c>
      <c r="D18" s="531"/>
      <c r="E18" s="151"/>
      <c r="F18" s="151"/>
      <c r="G18" s="151"/>
      <c r="H18" s="152">
        <f t="shared" si="3"/>
        <v>0</v>
      </c>
      <c r="I18" s="152">
        <f t="shared" si="3"/>
        <v>0</v>
      </c>
      <c r="J18" s="528">
        <f t="shared" si="4"/>
        <v>0</v>
      </c>
      <c r="K18" s="649">
        <v>550</v>
      </c>
      <c r="L18" s="649">
        <v>1100</v>
      </c>
      <c r="M18" s="151">
        <v>1650</v>
      </c>
      <c r="N18" s="528">
        <f t="shared" si="5"/>
        <v>3300</v>
      </c>
    </row>
    <row r="19" spans="1:14" x14ac:dyDescent="0.25">
      <c r="A19" s="923">
        <v>9</v>
      </c>
      <c r="B19" s="410" t="s">
        <v>32</v>
      </c>
      <c r="C19" s="411" t="s">
        <v>33</v>
      </c>
      <c r="D19" s="531">
        <v>627</v>
      </c>
      <c r="E19" s="151">
        <v>53</v>
      </c>
      <c r="F19" s="151">
        <v>626</v>
      </c>
      <c r="G19" s="151">
        <v>53</v>
      </c>
      <c r="H19" s="152">
        <f t="shared" si="3"/>
        <v>1253</v>
      </c>
      <c r="I19" s="152">
        <f t="shared" si="3"/>
        <v>106</v>
      </c>
      <c r="J19" s="528">
        <f t="shared" si="4"/>
        <v>1359</v>
      </c>
      <c r="K19" s="649">
        <v>275</v>
      </c>
      <c r="L19" s="649">
        <v>550</v>
      </c>
      <c r="M19" s="151">
        <v>825</v>
      </c>
      <c r="N19" s="528">
        <f t="shared" si="5"/>
        <v>1650</v>
      </c>
    </row>
    <row r="20" spans="1:14" x14ac:dyDescent="0.25">
      <c r="A20" s="923">
        <v>10</v>
      </c>
      <c r="B20" s="410" t="s">
        <v>34</v>
      </c>
      <c r="C20" s="411" t="s">
        <v>35</v>
      </c>
      <c r="D20" s="531"/>
      <c r="E20" s="151"/>
      <c r="F20" s="151"/>
      <c r="G20" s="151"/>
      <c r="H20" s="152">
        <f t="shared" si="3"/>
        <v>0</v>
      </c>
      <c r="I20" s="152">
        <f t="shared" si="3"/>
        <v>0</v>
      </c>
      <c r="J20" s="528">
        <f t="shared" si="4"/>
        <v>0</v>
      </c>
      <c r="K20" s="649">
        <v>550</v>
      </c>
      <c r="L20" s="649">
        <v>1100</v>
      </c>
      <c r="M20" s="151">
        <v>1650</v>
      </c>
      <c r="N20" s="528">
        <f t="shared" si="5"/>
        <v>3300</v>
      </c>
    </row>
    <row r="21" spans="1:14" x14ac:dyDescent="0.25">
      <c r="A21" s="923">
        <v>11</v>
      </c>
      <c r="B21" s="410" t="s">
        <v>36</v>
      </c>
      <c r="C21" s="411" t="s">
        <v>37</v>
      </c>
      <c r="D21" s="531"/>
      <c r="E21" s="151"/>
      <c r="F21" s="151"/>
      <c r="G21" s="151"/>
      <c r="H21" s="152">
        <f t="shared" si="3"/>
        <v>0</v>
      </c>
      <c r="I21" s="152">
        <f t="shared" si="3"/>
        <v>0</v>
      </c>
      <c r="J21" s="528">
        <f t="shared" si="4"/>
        <v>0</v>
      </c>
      <c r="K21" s="649">
        <v>550</v>
      </c>
      <c r="L21" s="649">
        <v>1100</v>
      </c>
      <c r="M21" s="151">
        <v>1650</v>
      </c>
      <c r="N21" s="528">
        <f t="shared" si="5"/>
        <v>3300</v>
      </c>
    </row>
    <row r="22" spans="1:14" x14ac:dyDescent="0.25">
      <c r="A22" s="923">
        <v>12</v>
      </c>
      <c r="B22" s="410" t="s">
        <v>38</v>
      </c>
      <c r="C22" s="411" t="s">
        <v>39</v>
      </c>
      <c r="D22" s="531">
        <v>1074</v>
      </c>
      <c r="E22" s="151"/>
      <c r="F22" s="151">
        <v>1073</v>
      </c>
      <c r="G22" s="151"/>
      <c r="H22" s="152">
        <f t="shared" si="3"/>
        <v>2147</v>
      </c>
      <c r="I22" s="152">
        <f t="shared" si="3"/>
        <v>0</v>
      </c>
      <c r="J22" s="528">
        <f t="shared" si="4"/>
        <v>2147</v>
      </c>
      <c r="K22" s="649">
        <v>550</v>
      </c>
      <c r="L22" s="649">
        <v>1100</v>
      </c>
      <c r="M22" s="151">
        <v>1650</v>
      </c>
      <c r="N22" s="528">
        <f t="shared" si="5"/>
        <v>3300</v>
      </c>
    </row>
    <row r="23" spans="1:14" x14ac:dyDescent="0.25">
      <c r="A23" s="923">
        <v>13</v>
      </c>
      <c r="B23" s="413" t="s">
        <v>40</v>
      </c>
      <c r="C23" s="414" t="s">
        <v>41</v>
      </c>
      <c r="D23" s="531"/>
      <c r="E23" s="151"/>
      <c r="F23" s="151"/>
      <c r="G23" s="151"/>
      <c r="H23" s="152">
        <f t="shared" si="3"/>
        <v>0</v>
      </c>
      <c r="I23" s="152">
        <f t="shared" si="3"/>
        <v>0</v>
      </c>
      <c r="J23" s="528">
        <f t="shared" si="4"/>
        <v>0</v>
      </c>
      <c r="K23" s="649"/>
      <c r="L23" s="649"/>
      <c r="M23" s="151"/>
      <c r="N23" s="528">
        <f t="shared" si="5"/>
        <v>0</v>
      </c>
    </row>
    <row r="24" spans="1:14" x14ac:dyDescent="0.25">
      <c r="A24" s="923">
        <v>14</v>
      </c>
      <c r="B24" s="415" t="s">
        <v>42</v>
      </c>
      <c r="C24" s="416" t="s">
        <v>43</v>
      </c>
      <c r="D24" s="531"/>
      <c r="E24" s="151"/>
      <c r="F24" s="151"/>
      <c r="G24" s="151"/>
      <c r="H24" s="152">
        <f t="shared" si="3"/>
        <v>0</v>
      </c>
      <c r="I24" s="152">
        <f t="shared" si="3"/>
        <v>0</v>
      </c>
      <c r="J24" s="528">
        <f t="shared" si="4"/>
        <v>0</v>
      </c>
      <c r="K24" s="649"/>
      <c r="L24" s="649"/>
      <c r="M24" s="151"/>
      <c r="N24" s="528">
        <f t="shared" si="5"/>
        <v>0</v>
      </c>
    </row>
    <row r="25" spans="1:14" x14ac:dyDescent="0.25">
      <c r="A25" s="923">
        <v>15</v>
      </c>
      <c r="B25" s="410" t="s">
        <v>44</v>
      </c>
      <c r="C25" s="411" t="s">
        <v>45</v>
      </c>
      <c r="D25" s="531"/>
      <c r="E25" s="151"/>
      <c r="F25" s="151"/>
      <c r="G25" s="151"/>
      <c r="H25" s="152">
        <f t="shared" si="3"/>
        <v>0</v>
      </c>
      <c r="I25" s="152">
        <f t="shared" si="3"/>
        <v>0</v>
      </c>
      <c r="J25" s="528">
        <f t="shared" si="4"/>
        <v>0</v>
      </c>
      <c r="K25" s="649">
        <v>550</v>
      </c>
      <c r="L25" s="649">
        <v>1100</v>
      </c>
      <c r="M25" s="151">
        <v>1650</v>
      </c>
      <c r="N25" s="528">
        <f t="shared" si="5"/>
        <v>3300</v>
      </c>
    </row>
    <row r="26" spans="1:14" x14ac:dyDescent="0.25">
      <c r="A26" s="923">
        <v>16</v>
      </c>
      <c r="B26" s="410" t="s">
        <v>46</v>
      </c>
      <c r="C26" s="411" t="s">
        <v>47</v>
      </c>
      <c r="D26" s="531"/>
      <c r="E26" s="151"/>
      <c r="F26" s="151"/>
      <c r="G26" s="151"/>
      <c r="H26" s="152">
        <f t="shared" si="3"/>
        <v>0</v>
      </c>
      <c r="I26" s="152">
        <f t="shared" si="3"/>
        <v>0</v>
      </c>
      <c r="J26" s="528">
        <f t="shared" si="4"/>
        <v>0</v>
      </c>
      <c r="K26" s="649">
        <v>550</v>
      </c>
      <c r="L26" s="649">
        <v>1100</v>
      </c>
      <c r="M26" s="151">
        <v>1650</v>
      </c>
      <c r="N26" s="528">
        <f t="shared" si="5"/>
        <v>3300</v>
      </c>
    </row>
    <row r="27" spans="1:14" x14ac:dyDescent="0.25">
      <c r="A27" s="923">
        <v>17</v>
      </c>
      <c r="B27" s="410" t="s">
        <v>48</v>
      </c>
      <c r="C27" s="411" t="s">
        <v>49</v>
      </c>
      <c r="D27" s="531">
        <v>1083</v>
      </c>
      <c r="E27" s="151">
        <v>172</v>
      </c>
      <c r="F27" s="151">
        <v>1083</v>
      </c>
      <c r="G27" s="151">
        <v>172</v>
      </c>
      <c r="H27" s="152">
        <f t="shared" si="3"/>
        <v>2166</v>
      </c>
      <c r="I27" s="152">
        <f t="shared" si="3"/>
        <v>344</v>
      </c>
      <c r="J27" s="528">
        <f t="shared" si="4"/>
        <v>2510</v>
      </c>
      <c r="K27" s="649">
        <v>605</v>
      </c>
      <c r="L27" s="649">
        <v>1100</v>
      </c>
      <c r="M27" s="151">
        <v>1650</v>
      </c>
      <c r="N27" s="528">
        <f t="shared" si="5"/>
        <v>3355</v>
      </c>
    </row>
    <row r="28" spans="1:14" x14ac:dyDescent="0.25">
      <c r="A28" s="923">
        <v>18</v>
      </c>
      <c r="B28" s="410" t="s">
        <v>50</v>
      </c>
      <c r="C28" s="411" t="s">
        <v>51</v>
      </c>
      <c r="D28" s="531">
        <v>2310</v>
      </c>
      <c r="E28" s="151">
        <f>467-43</f>
        <v>424</v>
      </c>
      <c r="F28" s="151">
        <v>2310</v>
      </c>
      <c r="G28" s="151">
        <f>467-157</f>
        <v>310</v>
      </c>
      <c r="H28" s="152">
        <f t="shared" si="3"/>
        <v>4620</v>
      </c>
      <c r="I28" s="152">
        <f t="shared" si="3"/>
        <v>734</v>
      </c>
      <c r="J28" s="528">
        <f t="shared" si="4"/>
        <v>5354</v>
      </c>
      <c r="K28" s="649">
        <v>1155</v>
      </c>
      <c r="L28" s="649">
        <v>2310</v>
      </c>
      <c r="M28" s="151">
        <v>2640</v>
      </c>
      <c r="N28" s="528">
        <f t="shared" si="5"/>
        <v>6105</v>
      </c>
    </row>
    <row r="29" spans="1:14" x14ac:dyDescent="0.25">
      <c r="A29" s="923">
        <v>19</v>
      </c>
      <c r="B29" s="408" t="s">
        <v>52</v>
      </c>
      <c r="C29" s="409" t="s">
        <v>53</v>
      </c>
      <c r="D29" s="531">
        <v>701</v>
      </c>
      <c r="E29" s="151">
        <v>51</v>
      </c>
      <c r="F29" s="151">
        <v>701</v>
      </c>
      <c r="G29" s="151">
        <v>51</v>
      </c>
      <c r="H29" s="152">
        <f t="shared" si="3"/>
        <v>1402</v>
      </c>
      <c r="I29" s="152">
        <f t="shared" si="3"/>
        <v>102</v>
      </c>
      <c r="J29" s="528">
        <f t="shared" si="4"/>
        <v>1504</v>
      </c>
      <c r="K29" s="649">
        <v>275</v>
      </c>
      <c r="L29" s="649">
        <v>550</v>
      </c>
      <c r="M29" s="151">
        <v>825</v>
      </c>
      <c r="N29" s="528">
        <f t="shared" si="5"/>
        <v>1650</v>
      </c>
    </row>
    <row r="30" spans="1:14" x14ac:dyDescent="0.25">
      <c r="A30" s="923">
        <v>20</v>
      </c>
      <c r="B30" s="408" t="s">
        <v>54</v>
      </c>
      <c r="C30" s="409" t="s">
        <v>55</v>
      </c>
      <c r="D30" s="531">
        <v>680</v>
      </c>
      <c r="E30" s="151">
        <v>133</v>
      </c>
      <c r="F30" s="151">
        <v>679</v>
      </c>
      <c r="G30" s="151">
        <v>132</v>
      </c>
      <c r="H30" s="152">
        <f t="shared" si="3"/>
        <v>1359</v>
      </c>
      <c r="I30" s="152">
        <f t="shared" si="3"/>
        <v>265</v>
      </c>
      <c r="J30" s="528">
        <f t="shared" si="4"/>
        <v>1624</v>
      </c>
      <c r="K30" s="649">
        <v>550</v>
      </c>
      <c r="L30" s="649">
        <v>1100</v>
      </c>
      <c r="M30" s="151">
        <v>1650</v>
      </c>
      <c r="N30" s="528">
        <f t="shared" si="5"/>
        <v>3300</v>
      </c>
    </row>
    <row r="31" spans="1:14" x14ac:dyDescent="0.25">
      <c r="A31" s="923">
        <v>21</v>
      </c>
      <c r="B31" s="408" t="s">
        <v>56</v>
      </c>
      <c r="C31" s="409" t="s">
        <v>57</v>
      </c>
      <c r="D31" s="531">
        <v>1986</v>
      </c>
      <c r="E31" s="151">
        <v>214</v>
      </c>
      <c r="F31" s="151">
        <v>1985</v>
      </c>
      <c r="G31" s="151">
        <v>214</v>
      </c>
      <c r="H31" s="152">
        <f t="shared" si="3"/>
        <v>3971</v>
      </c>
      <c r="I31" s="152">
        <f t="shared" si="3"/>
        <v>428</v>
      </c>
      <c r="J31" s="528">
        <f t="shared" si="4"/>
        <v>4399</v>
      </c>
      <c r="K31" s="649">
        <v>550</v>
      </c>
      <c r="L31" s="649">
        <v>1100</v>
      </c>
      <c r="M31" s="151">
        <v>1650</v>
      </c>
      <c r="N31" s="528">
        <f t="shared" si="5"/>
        <v>3300</v>
      </c>
    </row>
    <row r="32" spans="1:14" x14ac:dyDescent="0.25">
      <c r="A32" s="923">
        <v>22</v>
      </c>
      <c r="B32" s="408" t="s">
        <v>58</v>
      </c>
      <c r="C32" s="409" t="s">
        <v>59</v>
      </c>
      <c r="D32" s="531">
        <v>1771</v>
      </c>
      <c r="E32" s="151">
        <v>185</v>
      </c>
      <c r="F32" s="151">
        <v>1770</v>
      </c>
      <c r="G32" s="151">
        <v>185</v>
      </c>
      <c r="H32" s="152">
        <f t="shared" si="3"/>
        <v>3541</v>
      </c>
      <c r="I32" s="152">
        <f t="shared" si="3"/>
        <v>370</v>
      </c>
      <c r="J32" s="528">
        <f t="shared" si="4"/>
        <v>3911</v>
      </c>
      <c r="K32" s="649">
        <v>880</v>
      </c>
      <c r="L32" s="649">
        <v>1760</v>
      </c>
      <c r="M32" s="151">
        <v>2640</v>
      </c>
      <c r="N32" s="528">
        <f t="shared" si="5"/>
        <v>5280</v>
      </c>
    </row>
    <row r="33" spans="1:14" x14ac:dyDescent="0.25">
      <c r="A33" s="923">
        <v>23</v>
      </c>
      <c r="B33" s="410" t="s">
        <v>60</v>
      </c>
      <c r="C33" s="411" t="s">
        <v>61</v>
      </c>
      <c r="D33" s="531"/>
      <c r="E33" s="151"/>
      <c r="F33" s="151"/>
      <c r="G33" s="151"/>
      <c r="H33" s="152">
        <f t="shared" si="3"/>
        <v>0</v>
      </c>
      <c r="I33" s="152">
        <f t="shared" si="3"/>
        <v>0</v>
      </c>
      <c r="J33" s="528">
        <f t="shared" si="4"/>
        <v>0</v>
      </c>
      <c r="K33" s="649"/>
      <c r="L33" s="649"/>
      <c r="M33" s="151"/>
      <c r="N33" s="528">
        <f t="shared" si="5"/>
        <v>0</v>
      </c>
    </row>
    <row r="34" spans="1:14" x14ac:dyDescent="0.25">
      <c r="A34" s="923">
        <v>24</v>
      </c>
      <c r="B34" s="410" t="s">
        <v>62</v>
      </c>
      <c r="C34" s="411" t="s">
        <v>63</v>
      </c>
      <c r="D34" s="531"/>
      <c r="E34" s="151"/>
      <c r="F34" s="151"/>
      <c r="G34" s="151"/>
      <c r="H34" s="152">
        <f t="shared" si="3"/>
        <v>0</v>
      </c>
      <c r="I34" s="152">
        <f t="shared" si="3"/>
        <v>0</v>
      </c>
      <c r="J34" s="528">
        <f t="shared" si="4"/>
        <v>0</v>
      </c>
      <c r="K34" s="649"/>
      <c r="L34" s="649"/>
      <c r="M34" s="151"/>
      <c r="N34" s="528">
        <f t="shared" si="5"/>
        <v>0</v>
      </c>
    </row>
    <row r="35" spans="1:14" ht="24" x14ac:dyDescent="0.25">
      <c r="A35" s="923">
        <v>25</v>
      </c>
      <c r="B35" s="410" t="s">
        <v>64</v>
      </c>
      <c r="C35" s="411" t="s">
        <v>65</v>
      </c>
      <c r="D35" s="531"/>
      <c r="E35" s="151"/>
      <c r="F35" s="151"/>
      <c r="G35" s="151"/>
      <c r="H35" s="152">
        <f t="shared" si="3"/>
        <v>0</v>
      </c>
      <c r="I35" s="152">
        <f t="shared" si="3"/>
        <v>0</v>
      </c>
      <c r="J35" s="528">
        <f t="shared" si="4"/>
        <v>0</v>
      </c>
      <c r="K35" s="649"/>
      <c r="L35" s="649"/>
      <c r="M35" s="151"/>
      <c r="N35" s="528">
        <f t="shared" si="5"/>
        <v>0</v>
      </c>
    </row>
    <row r="36" spans="1:14" x14ac:dyDescent="0.25">
      <c r="A36" s="923">
        <v>26</v>
      </c>
      <c r="B36" s="408" t="s">
        <v>66</v>
      </c>
      <c r="C36" s="412" t="s">
        <v>67</v>
      </c>
      <c r="D36" s="531">
        <f>0+625</f>
        <v>625</v>
      </c>
      <c r="E36" s="151">
        <f>0+123</f>
        <v>123</v>
      </c>
      <c r="F36" s="151">
        <f>0+3747</f>
        <v>3747</v>
      </c>
      <c r="G36" s="151">
        <f>0+454</f>
        <v>454</v>
      </c>
      <c r="H36" s="152">
        <f t="shared" si="3"/>
        <v>4372</v>
      </c>
      <c r="I36" s="152">
        <f t="shared" si="3"/>
        <v>577</v>
      </c>
      <c r="J36" s="528">
        <f t="shared" si="4"/>
        <v>4949</v>
      </c>
      <c r="K36" s="649">
        <v>1650</v>
      </c>
      <c r="L36" s="649">
        <f>3300-725+275</f>
        <v>2850</v>
      </c>
      <c r="M36" s="709">
        <f>4125-1650+1650</f>
        <v>4125</v>
      </c>
      <c r="N36" s="528">
        <f t="shared" si="5"/>
        <v>8625</v>
      </c>
    </row>
    <row r="37" spans="1:14" x14ac:dyDescent="0.25">
      <c r="A37" s="923">
        <v>27</v>
      </c>
      <c r="B37" s="410" t="s">
        <v>68</v>
      </c>
      <c r="C37" s="411" t="s">
        <v>69</v>
      </c>
      <c r="D37" s="531">
        <f>3748-625</f>
        <v>3123</v>
      </c>
      <c r="E37" s="151">
        <f>848-107-123</f>
        <v>618</v>
      </c>
      <c r="F37" s="151">
        <f>3747-3747</f>
        <v>0</v>
      </c>
      <c r="G37" s="151">
        <f>847-393-454</f>
        <v>0</v>
      </c>
      <c r="H37" s="152">
        <f t="shared" si="3"/>
        <v>3123</v>
      </c>
      <c r="I37" s="152">
        <f t="shared" si="3"/>
        <v>618</v>
      </c>
      <c r="J37" s="528">
        <f t="shared" si="4"/>
        <v>3741</v>
      </c>
      <c r="K37" s="649">
        <v>550</v>
      </c>
      <c r="L37" s="649">
        <f>1100-275</f>
        <v>825</v>
      </c>
      <c r="M37" s="709">
        <f>1650-1650</f>
        <v>0</v>
      </c>
      <c r="N37" s="528">
        <f t="shared" si="5"/>
        <v>1375</v>
      </c>
    </row>
    <row r="38" spans="1:14" x14ac:dyDescent="0.25">
      <c r="A38" s="923">
        <v>28</v>
      </c>
      <c r="B38" s="410" t="s">
        <v>70</v>
      </c>
      <c r="C38" s="411" t="s">
        <v>71</v>
      </c>
      <c r="D38" s="531"/>
      <c r="E38" s="151"/>
      <c r="F38" s="151"/>
      <c r="G38" s="151"/>
      <c r="H38" s="152">
        <f t="shared" si="3"/>
        <v>0</v>
      </c>
      <c r="I38" s="152">
        <f t="shared" si="3"/>
        <v>0</v>
      </c>
      <c r="J38" s="528">
        <f t="shared" si="4"/>
        <v>0</v>
      </c>
      <c r="K38" s="649">
        <v>165</v>
      </c>
      <c r="L38" s="649">
        <v>110</v>
      </c>
      <c r="M38" s="151">
        <v>165</v>
      </c>
      <c r="N38" s="528">
        <f t="shared" si="5"/>
        <v>440</v>
      </c>
    </row>
    <row r="39" spans="1:14" x14ac:dyDescent="0.25">
      <c r="A39" s="923">
        <v>29</v>
      </c>
      <c r="B39" s="408" t="s">
        <v>72</v>
      </c>
      <c r="C39" s="409" t="s">
        <v>73</v>
      </c>
      <c r="D39" s="531"/>
      <c r="E39" s="151"/>
      <c r="F39" s="151"/>
      <c r="G39" s="151"/>
      <c r="H39" s="152">
        <f t="shared" si="3"/>
        <v>0</v>
      </c>
      <c r="I39" s="152">
        <f t="shared" si="3"/>
        <v>0</v>
      </c>
      <c r="J39" s="528">
        <f t="shared" si="4"/>
        <v>0</v>
      </c>
      <c r="K39" s="649"/>
      <c r="L39" s="649"/>
      <c r="M39" s="151"/>
      <c r="N39" s="528">
        <f t="shared" si="5"/>
        <v>0</v>
      </c>
    </row>
    <row r="40" spans="1:14" ht="24" x14ac:dyDescent="0.25">
      <c r="A40" s="923">
        <v>30</v>
      </c>
      <c r="B40" s="408" t="s">
        <v>74</v>
      </c>
      <c r="C40" s="412" t="s">
        <v>377</v>
      </c>
      <c r="D40" s="531"/>
      <c r="E40" s="151"/>
      <c r="F40" s="151"/>
      <c r="G40" s="151"/>
      <c r="H40" s="152">
        <f t="shared" si="3"/>
        <v>0</v>
      </c>
      <c r="I40" s="152">
        <f t="shared" si="3"/>
        <v>0</v>
      </c>
      <c r="J40" s="528">
        <f t="shared" si="4"/>
        <v>0</v>
      </c>
      <c r="K40" s="649"/>
      <c r="L40" s="649"/>
      <c r="M40" s="151"/>
      <c r="N40" s="528">
        <f t="shared" si="5"/>
        <v>0</v>
      </c>
    </row>
    <row r="41" spans="1:14" ht="23.25" customHeight="1" x14ac:dyDescent="0.25">
      <c r="A41" s="923">
        <v>31</v>
      </c>
      <c r="B41" s="408" t="s">
        <v>75</v>
      </c>
      <c r="C41" s="409" t="s">
        <v>76</v>
      </c>
      <c r="D41" s="531"/>
      <c r="E41" s="151"/>
      <c r="F41" s="151"/>
      <c r="G41" s="151"/>
      <c r="H41" s="152">
        <f t="shared" si="3"/>
        <v>0</v>
      </c>
      <c r="I41" s="152">
        <f t="shared" si="3"/>
        <v>0</v>
      </c>
      <c r="J41" s="528">
        <f t="shared" si="4"/>
        <v>0</v>
      </c>
      <c r="K41" s="649"/>
      <c r="L41" s="649"/>
      <c r="M41" s="151"/>
      <c r="N41" s="528">
        <f t="shared" si="5"/>
        <v>0</v>
      </c>
    </row>
    <row r="42" spans="1:14" x14ac:dyDescent="0.25">
      <c r="A42" s="923">
        <v>32</v>
      </c>
      <c r="B42" s="410" t="s">
        <v>77</v>
      </c>
      <c r="C42" s="411" t="s">
        <v>78</v>
      </c>
      <c r="D42" s="531">
        <v>1876</v>
      </c>
      <c r="E42" s="151">
        <v>342</v>
      </c>
      <c r="F42" s="151">
        <v>1876</v>
      </c>
      <c r="G42" s="151">
        <v>342</v>
      </c>
      <c r="H42" s="152">
        <f t="shared" si="3"/>
        <v>3752</v>
      </c>
      <c r="I42" s="152">
        <f t="shared" si="3"/>
        <v>684</v>
      </c>
      <c r="J42" s="528">
        <f t="shared" si="4"/>
        <v>4436</v>
      </c>
      <c r="K42" s="649">
        <v>880</v>
      </c>
      <c r="L42" s="649">
        <v>1760</v>
      </c>
      <c r="M42" s="151">
        <v>2640</v>
      </c>
      <c r="N42" s="528">
        <f t="shared" si="5"/>
        <v>5280</v>
      </c>
    </row>
    <row r="43" spans="1:14" x14ac:dyDescent="0.25">
      <c r="A43" s="923">
        <v>33</v>
      </c>
      <c r="B43" s="408" t="s">
        <v>79</v>
      </c>
      <c r="C43" s="409" t="s">
        <v>80</v>
      </c>
      <c r="D43" s="531">
        <v>1307</v>
      </c>
      <c r="E43" s="151">
        <v>422</v>
      </c>
      <c r="F43" s="151">
        <v>1307</v>
      </c>
      <c r="G43" s="151">
        <v>421</v>
      </c>
      <c r="H43" s="152">
        <f t="shared" si="3"/>
        <v>2614</v>
      </c>
      <c r="I43" s="152">
        <f t="shared" si="3"/>
        <v>843</v>
      </c>
      <c r="J43" s="528">
        <f t="shared" si="4"/>
        <v>3457</v>
      </c>
      <c r="K43" s="649">
        <v>1155</v>
      </c>
      <c r="L43" s="649">
        <v>2200</v>
      </c>
      <c r="M43" s="151">
        <v>3300</v>
      </c>
      <c r="N43" s="528">
        <f t="shared" si="5"/>
        <v>6655</v>
      </c>
    </row>
    <row r="44" spans="1:14" x14ac:dyDescent="0.25">
      <c r="A44" s="923">
        <v>34</v>
      </c>
      <c r="B44" s="701" t="s">
        <v>81</v>
      </c>
      <c r="C44" s="412" t="s">
        <v>82</v>
      </c>
      <c r="D44" s="531">
        <v>823</v>
      </c>
      <c r="E44" s="151">
        <v>78</v>
      </c>
      <c r="F44" s="151">
        <v>823</v>
      </c>
      <c r="G44" s="151">
        <v>77</v>
      </c>
      <c r="H44" s="152">
        <f t="shared" si="3"/>
        <v>1646</v>
      </c>
      <c r="I44" s="152">
        <f t="shared" si="3"/>
        <v>155</v>
      </c>
      <c r="J44" s="528">
        <f t="shared" si="4"/>
        <v>1801</v>
      </c>
      <c r="K44" s="649">
        <v>550</v>
      </c>
      <c r="L44" s="649">
        <v>1100</v>
      </c>
      <c r="M44" s="151">
        <v>1650</v>
      </c>
      <c r="N44" s="528">
        <f t="shared" si="5"/>
        <v>3300</v>
      </c>
    </row>
    <row r="45" spans="1:14" x14ac:dyDescent="0.25">
      <c r="A45" s="923">
        <v>35</v>
      </c>
      <c r="B45" s="408" t="s">
        <v>83</v>
      </c>
      <c r="C45" s="409" t="s">
        <v>84</v>
      </c>
      <c r="D45" s="531">
        <v>1379</v>
      </c>
      <c r="E45" s="151">
        <v>256</v>
      </c>
      <c r="F45" s="151">
        <v>1379</v>
      </c>
      <c r="G45" s="151">
        <v>256</v>
      </c>
      <c r="H45" s="152">
        <f t="shared" si="3"/>
        <v>2758</v>
      </c>
      <c r="I45" s="152">
        <f t="shared" si="3"/>
        <v>512</v>
      </c>
      <c r="J45" s="528">
        <f t="shared" si="4"/>
        <v>3270</v>
      </c>
      <c r="K45" s="649">
        <v>825</v>
      </c>
      <c r="L45" s="649">
        <v>1650</v>
      </c>
      <c r="M45" s="151">
        <v>2475</v>
      </c>
      <c r="N45" s="528">
        <f t="shared" si="5"/>
        <v>4950</v>
      </c>
    </row>
    <row r="46" spans="1:14" x14ac:dyDescent="0.25">
      <c r="A46" s="923">
        <v>36</v>
      </c>
      <c r="B46" s="408" t="s">
        <v>85</v>
      </c>
      <c r="C46" s="409" t="s">
        <v>86</v>
      </c>
      <c r="D46" s="531"/>
      <c r="E46" s="151"/>
      <c r="F46" s="151"/>
      <c r="G46" s="151"/>
      <c r="H46" s="152">
        <f t="shared" si="3"/>
        <v>0</v>
      </c>
      <c r="I46" s="152">
        <f t="shared" si="3"/>
        <v>0</v>
      </c>
      <c r="J46" s="528">
        <f t="shared" si="4"/>
        <v>0</v>
      </c>
      <c r="K46" s="649">
        <v>550</v>
      </c>
      <c r="L46" s="649">
        <v>1100</v>
      </c>
      <c r="M46" s="151">
        <v>1650</v>
      </c>
      <c r="N46" s="528">
        <f t="shared" si="5"/>
        <v>3300</v>
      </c>
    </row>
    <row r="47" spans="1:14" x14ac:dyDescent="0.25">
      <c r="A47" s="923">
        <v>37</v>
      </c>
      <c r="B47" s="410" t="s">
        <v>87</v>
      </c>
      <c r="C47" s="411" t="s">
        <v>88</v>
      </c>
      <c r="D47" s="531">
        <v>1617</v>
      </c>
      <c r="E47" s="151">
        <v>296</v>
      </c>
      <c r="F47" s="151">
        <v>1617</v>
      </c>
      <c r="G47" s="151">
        <v>295</v>
      </c>
      <c r="H47" s="152">
        <f t="shared" si="3"/>
        <v>3234</v>
      </c>
      <c r="I47" s="152">
        <f t="shared" si="3"/>
        <v>591</v>
      </c>
      <c r="J47" s="528">
        <f t="shared" si="4"/>
        <v>3825</v>
      </c>
      <c r="K47" s="649">
        <v>825</v>
      </c>
      <c r="L47" s="649">
        <v>1650</v>
      </c>
      <c r="M47" s="151">
        <v>2475</v>
      </c>
      <c r="N47" s="528">
        <f t="shared" si="5"/>
        <v>4950</v>
      </c>
    </row>
    <row r="48" spans="1:14" ht="13.5" customHeight="1" x14ac:dyDescent="0.25">
      <c r="A48" s="923">
        <v>38</v>
      </c>
      <c r="B48" s="408" t="s">
        <v>89</v>
      </c>
      <c r="C48" s="409" t="s">
        <v>90</v>
      </c>
      <c r="D48" s="531"/>
      <c r="E48" s="151"/>
      <c r="F48" s="151"/>
      <c r="G48" s="151"/>
      <c r="H48" s="152">
        <f t="shared" si="3"/>
        <v>0</v>
      </c>
      <c r="I48" s="152">
        <f t="shared" si="3"/>
        <v>0</v>
      </c>
      <c r="J48" s="528">
        <f t="shared" si="4"/>
        <v>0</v>
      </c>
      <c r="K48" s="649">
        <v>550</v>
      </c>
      <c r="L48" s="649">
        <v>1100</v>
      </c>
      <c r="M48" s="151">
        <v>1650</v>
      </c>
      <c r="N48" s="528">
        <f t="shared" si="5"/>
        <v>3300</v>
      </c>
    </row>
    <row r="49" spans="1:14" x14ac:dyDescent="0.25">
      <c r="A49" s="923">
        <v>39</v>
      </c>
      <c r="B49" s="408" t="s">
        <v>91</v>
      </c>
      <c r="C49" s="409" t="s">
        <v>92</v>
      </c>
      <c r="D49" s="531">
        <v>727</v>
      </c>
      <c r="E49" s="151">
        <v>45</v>
      </c>
      <c r="F49" s="151">
        <v>726</v>
      </c>
      <c r="G49" s="151">
        <v>45</v>
      </c>
      <c r="H49" s="152">
        <f t="shared" si="3"/>
        <v>1453</v>
      </c>
      <c r="I49" s="152">
        <f t="shared" si="3"/>
        <v>90</v>
      </c>
      <c r="J49" s="528">
        <f t="shared" si="4"/>
        <v>1543</v>
      </c>
      <c r="K49" s="649">
        <v>550</v>
      </c>
      <c r="L49" s="649">
        <v>1100</v>
      </c>
      <c r="M49" s="151">
        <v>1650</v>
      </c>
      <c r="N49" s="528">
        <f t="shared" si="5"/>
        <v>3300</v>
      </c>
    </row>
    <row r="50" spans="1:14" x14ac:dyDescent="0.25">
      <c r="A50" s="923">
        <v>40</v>
      </c>
      <c r="B50" s="143" t="s">
        <v>93</v>
      </c>
      <c r="C50" s="417" t="s">
        <v>94</v>
      </c>
      <c r="D50" s="531"/>
      <c r="E50" s="151"/>
      <c r="F50" s="151"/>
      <c r="G50" s="151"/>
      <c r="H50" s="152">
        <f t="shared" si="3"/>
        <v>0</v>
      </c>
      <c r="I50" s="152">
        <f t="shared" si="3"/>
        <v>0</v>
      </c>
      <c r="J50" s="528">
        <f t="shared" si="4"/>
        <v>0</v>
      </c>
      <c r="K50" s="649">
        <v>550</v>
      </c>
      <c r="L50" s="649">
        <v>1100</v>
      </c>
      <c r="M50" s="151">
        <v>1650</v>
      </c>
      <c r="N50" s="528">
        <f t="shared" si="5"/>
        <v>3300</v>
      </c>
    </row>
    <row r="51" spans="1:14" x14ac:dyDescent="0.25">
      <c r="A51" s="923">
        <v>41</v>
      </c>
      <c r="B51" s="408" t="s">
        <v>95</v>
      </c>
      <c r="C51" s="409" t="s">
        <v>96</v>
      </c>
      <c r="D51" s="531"/>
      <c r="E51" s="151"/>
      <c r="F51" s="151"/>
      <c r="G51" s="151"/>
      <c r="H51" s="152">
        <f t="shared" si="3"/>
        <v>0</v>
      </c>
      <c r="I51" s="152">
        <f t="shared" si="3"/>
        <v>0</v>
      </c>
      <c r="J51" s="528">
        <f t="shared" si="4"/>
        <v>0</v>
      </c>
      <c r="K51" s="649">
        <v>550</v>
      </c>
      <c r="L51" s="649">
        <v>1100</v>
      </c>
      <c r="M51" s="151">
        <v>1650</v>
      </c>
      <c r="N51" s="528">
        <f t="shared" si="5"/>
        <v>3300</v>
      </c>
    </row>
    <row r="52" spans="1:14" x14ac:dyDescent="0.25">
      <c r="A52" s="923">
        <v>42</v>
      </c>
      <c r="B52" s="701" t="s">
        <v>97</v>
      </c>
      <c r="C52" s="412" t="s">
        <v>98</v>
      </c>
      <c r="D52" s="531"/>
      <c r="E52" s="151"/>
      <c r="F52" s="151"/>
      <c r="G52" s="151"/>
      <c r="H52" s="152">
        <f t="shared" si="3"/>
        <v>0</v>
      </c>
      <c r="I52" s="152">
        <f t="shared" si="3"/>
        <v>0</v>
      </c>
      <c r="J52" s="528">
        <f t="shared" si="4"/>
        <v>0</v>
      </c>
      <c r="K52" s="649"/>
      <c r="L52" s="649"/>
      <c r="M52" s="151"/>
      <c r="N52" s="528">
        <f t="shared" si="5"/>
        <v>0</v>
      </c>
    </row>
    <row r="53" spans="1:14" x14ac:dyDescent="0.25">
      <c r="A53" s="923">
        <v>43</v>
      </c>
      <c r="B53" s="410" t="s">
        <v>99</v>
      </c>
      <c r="C53" s="411" t="s">
        <v>100</v>
      </c>
      <c r="D53" s="531">
        <v>2118</v>
      </c>
      <c r="E53" s="151">
        <v>353</v>
      </c>
      <c r="F53" s="151">
        <v>2117</v>
      </c>
      <c r="G53" s="151">
        <v>352</v>
      </c>
      <c r="H53" s="152">
        <f t="shared" si="3"/>
        <v>4235</v>
      </c>
      <c r="I53" s="152">
        <f t="shared" si="3"/>
        <v>705</v>
      </c>
      <c r="J53" s="528">
        <f t="shared" si="4"/>
        <v>4940</v>
      </c>
      <c r="K53" s="649">
        <v>880</v>
      </c>
      <c r="L53" s="649">
        <v>1760</v>
      </c>
      <c r="M53" s="151">
        <v>2640</v>
      </c>
      <c r="N53" s="528">
        <f t="shared" si="5"/>
        <v>5280</v>
      </c>
    </row>
    <row r="54" spans="1:14" x14ac:dyDescent="0.25">
      <c r="A54" s="923">
        <v>44</v>
      </c>
      <c r="B54" s="408" t="s">
        <v>101</v>
      </c>
      <c r="C54" s="409" t="s">
        <v>102</v>
      </c>
      <c r="D54" s="531">
        <v>874</v>
      </c>
      <c r="E54" s="151">
        <v>144</v>
      </c>
      <c r="F54" s="151">
        <v>873</v>
      </c>
      <c r="G54" s="151">
        <v>144</v>
      </c>
      <c r="H54" s="152">
        <f t="shared" si="3"/>
        <v>1747</v>
      </c>
      <c r="I54" s="152">
        <f t="shared" si="3"/>
        <v>288</v>
      </c>
      <c r="J54" s="528">
        <f t="shared" si="4"/>
        <v>2035</v>
      </c>
      <c r="K54" s="649">
        <v>550</v>
      </c>
      <c r="L54" s="649">
        <v>1100</v>
      </c>
      <c r="M54" s="151">
        <v>1650</v>
      </c>
      <c r="N54" s="528">
        <f t="shared" si="5"/>
        <v>3300</v>
      </c>
    </row>
    <row r="55" spans="1:14" x14ac:dyDescent="0.25">
      <c r="A55" s="923">
        <v>45</v>
      </c>
      <c r="B55" s="410" t="s">
        <v>103</v>
      </c>
      <c r="C55" s="411" t="s">
        <v>104</v>
      </c>
      <c r="D55" s="531">
        <v>2385</v>
      </c>
      <c r="E55" s="151">
        <v>339</v>
      </c>
      <c r="F55" s="151">
        <v>2384</v>
      </c>
      <c r="G55" s="151">
        <v>339</v>
      </c>
      <c r="H55" s="152">
        <f t="shared" si="3"/>
        <v>4769</v>
      </c>
      <c r="I55" s="152">
        <f t="shared" si="3"/>
        <v>678</v>
      </c>
      <c r="J55" s="528">
        <f t="shared" si="4"/>
        <v>5447</v>
      </c>
      <c r="K55" s="649">
        <v>1100</v>
      </c>
      <c r="L55" s="649">
        <v>2200</v>
      </c>
      <c r="M55" s="151">
        <v>3300</v>
      </c>
      <c r="N55" s="528">
        <f t="shared" si="5"/>
        <v>6600</v>
      </c>
    </row>
    <row r="56" spans="1:14" x14ac:dyDescent="0.25">
      <c r="A56" s="923">
        <v>46</v>
      </c>
      <c r="B56" s="408" t="s">
        <v>105</v>
      </c>
      <c r="C56" s="409" t="s">
        <v>106</v>
      </c>
      <c r="D56" s="531"/>
      <c r="E56" s="151"/>
      <c r="F56" s="151"/>
      <c r="G56" s="151"/>
      <c r="H56" s="152">
        <f t="shared" si="3"/>
        <v>0</v>
      </c>
      <c r="I56" s="152">
        <f t="shared" si="3"/>
        <v>0</v>
      </c>
      <c r="J56" s="528">
        <f t="shared" si="4"/>
        <v>0</v>
      </c>
      <c r="K56" s="649">
        <v>550</v>
      </c>
      <c r="L56" s="649">
        <v>1100</v>
      </c>
      <c r="M56" s="151">
        <v>1650</v>
      </c>
      <c r="N56" s="528">
        <f t="shared" si="5"/>
        <v>3300</v>
      </c>
    </row>
    <row r="57" spans="1:14" x14ac:dyDescent="0.25">
      <c r="A57" s="923">
        <v>47</v>
      </c>
      <c r="B57" s="408" t="s">
        <v>107</v>
      </c>
      <c r="C57" s="409" t="s">
        <v>108</v>
      </c>
      <c r="D57" s="531"/>
      <c r="E57" s="151"/>
      <c r="F57" s="151"/>
      <c r="G57" s="151"/>
      <c r="H57" s="152">
        <f t="shared" si="3"/>
        <v>0</v>
      </c>
      <c r="I57" s="152">
        <f t="shared" si="3"/>
        <v>0</v>
      </c>
      <c r="J57" s="528">
        <f t="shared" si="4"/>
        <v>0</v>
      </c>
      <c r="K57" s="649">
        <v>550</v>
      </c>
      <c r="L57" s="649">
        <v>1100</v>
      </c>
      <c r="M57" s="151">
        <v>1650</v>
      </c>
      <c r="N57" s="528">
        <f t="shared" si="5"/>
        <v>3300</v>
      </c>
    </row>
    <row r="58" spans="1:14" x14ac:dyDescent="0.25">
      <c r="A58" s="923">
        <v>48</v>
      </c>
      <c r="B58" s="410" t="s">
        <v>109</v>
      </c>
      <c r="C58" s="411" t="s">
        <v>110</v>
      </c>
      <c r="D58" s="531">
        <v>930</v>
      </c>
      <c r="E58" s="151">
        <v>236</v>
      </c>
      <c r="F58" s="151">
        <v>929</v>
      </c>
      <c r="G58" s="151">
        <v>236</v>
      </c>
      <c r="H58" s="152">
        <f t="shared" si="3"/>
        <v>1859</v>
      </c>
      <c r="I58" s="152">
        <f t="shared" si="3"/>
        <v>472</v>
      </c>
      <c r="J58" s="528">
        <f t="shared" si="4"/>
        <v>2331</v>
      </c>
      <c r="K58" s="649">
        <v>550</v>
      </c>
      <c r="L58" s="649">
        <v>1100</v>
      </c>
      <c r="M58" s="151">
        <v>1650</v>
      </c>
      <c r="N58" s="528">
        <f t="shared" si="5"/>
        <v>3300</v>
      </c>
    </row>
    <row r="59" spans="1:14" ht="12" customHeight="1" x14ac:dyDescent="0.25">
      <c r="A59" s="923">
        <v>49</v>
      </c>
      <c r="B59" s="410" t="s">
        <v>111</v>
      </c>
      <c r="C59" s="411" t="s">
        <v>112</v>
      </c>
      <c r="D59" s="531">
        <v>574</v>
      </c>
      <c r="E59" s="151"/>
      <c r="F59" s="151">
        <v>573</v>
      </c>
      <c r="G59" s="151"/>
      <c r="H59" s="152">
        <f t="shared" si="3"/>
        <v>1147</v>
      </c>
      <c r="I59" s="152">
        <f t="shared" si="3"/>
        <v>0</v>
      </c>
      <c r="J59" s="528">
        <f t="shared" si="4"/>
        <v>1147</v>
      </c>
      <c r="K59" s="649">
        <v>550</v>
      </c>
      <c r="L59" s="649">
        <v>1100</v>
      </c>
      <c r="M59" s="151">
        <v>1650</v>
      </c>
      <c r="N59" s="528">
        <f t="shared" si="5"/>
        <v>3300</v>
      </c>
    </row>
    <row r="60" spans="1:14" x14ac:dyDescent="0.25">
      <c r="A60" s="923">
        <v>50</v>
      </c>
      <c r="B60" s="408" t="s">
        <v>113</v>
      </c>
      <c r="C60" s="409" t="s">
        <v>114</v>
      </c>
      <c r="D60" s="531">
        <v>910</v>
      </c>
      <c r="E60" s="151">
        <v>61</v>
      </c>
      <c r="F60" s="151">
        <v>909</v>
      </c>
      <c r="G60" s="151">
        <v>60</v>
      </c>
      <c r="H60" s="152">
        <f t="shared" si="3"/>
        <v>1819</v>
      </c>
      <c r="I60" s="152">
        <f t="shared" si="3"/>
        <v>121</v>
      </c>
      <c r="J60" s="528">
        <f t="shared" si="4"/>
        <v>1940</v>
      </c>
      <c r="K60" s="649">
        <v>550</v>
      </c>
      <c r="L60" s="649">
        <v>1100</v>
      </c>
      <c r="M60" s="151">
        <v>1650</v>
      </c>
      <c r="N60" s="528">
        <f t="shared" si="5"/>
        <v>3300</v>
      </c>
    </row>
    <row r="61" spans="1:14" x14ac:dyDescent="0.25">
      <c r="A61" s="923">
        <v>51</v>
      </c>
      <c r="B61" s="410" t="s">
        <v>115</v>
      </c>
      <c r="C61" s="411" t="s">
        <v>116</v>
      </c>
      <c r="D61" s="531">
        <v>975</v>
      </c>
      <c r="E61" s="151"/>
      <c r="F61" s="151">
        <v>975</v>
      </c>
      <c r="G61" s="151"/>
      <c r="H61" s="152">
        <f t="shared" si="3"/>
        <v>1950</v>
      </c>
      <c r="I61" s="152">
        <f t="shared" si="3"/>
        <v>0</v>
      </c>
      <c r="J61" s="528">
        <f t="shared" si="4"/>
        <v>1950</v>
      </c>
      <c r="K61" s="649">
        <v>550</v>
      </c>
      <c r="L61" s="649">
        <v>1100</v>
      </c>
      <c r="M61" s="151">
        <v>1650</v>
      </c>
      <c r="N61" s="528">
        <f t="shared" si="5"/>
        <v>3300</v>
      </c>
    </row>
    <row r="62" spans="1:14" x14ac:dyDescent="0.25">
      <c r="A62" s="923">
        <v>52</v>
      </c>
      <c r="B62" s="408" t="s">
        <v>117</v>
      </c>
      <c r="C62" s="409" t="s">
        <v>118</v>
      </c>
      <c r="D62" s="531">
        <v>1687</v>
      </c>
      <c r="E62" s="151">
        <f>450-43</f>
        <v>407</v>
      </c>
      <c r="F62" s="151">
        <v>1686</v>
      </c>
      <c r="G62" s="151">
        <f>450-157</f>
        <v>293</v>
      </c>
      <c r="H62" s="152">
        <f t="shared" si="3"/>
        <v>3373</v>
      </c>
      <c r="I62" s="152">
        <f t="shared" si="3"/>
        <v>700</v>
      </c>
      <c r="J62" s="528">
        <f t="shared" si="4"/>
        <v>4073</v>
      </c>
      <c r="K62" s="649">
        <v>1100</v>
      </c>
      <c r="L62" s="649">
        <f>2200-1187</f>
        <v>1013</v>
      </c>
      <c r="M62" s="151">
        <v>2475</v>
      </c>
      <c r="N62" s="528">
        <f t="shared" si="5"/>
        <v>4588</v>
      </c>
    </row>
    <row r="63" spans="1:14" x14ac:dyDescent="0.25">
      <c r="A63" s="923">
        <v>53</v>
      </c>
      <c r="B63" s="410" t="s">
        <v>119</v>
      </c>
      <c r="C63" s="411" t="s">
        <v>120</v>
      </c>
      <c r="D63" s="531">
        <v>765</v>
      </c>
      <c r="E63" s="151"/>
      <c r="F63" s="151">
        <v>764</v>
      </c>
      <c r="G63" s="151"/>
      <c r="H63" s="152">
        <f t="shared" si="3"/>
        <v>1529</v>
      </c>
      <c r="I63" s="152">
        <f t="shared" si="3"/>
        <v>0</v>
      </c>
      <c r="J63" s="528">
        <f t="shared" si="4"/>
        <v>1529</v>
      </c>
      <c r="K63" s="649">
        <v>550</v>
      </c>
      <c r="L63" s="649">
        <v>1100</v>
      </c>
      <c r="M63" s="151">
        <v>1650</v>
      </c>
      <c r="N63" s="528">
        <f t="shared" si="5"/>
        <v>3300</v>
      </c>
    </row>
    <row r="64" spans="1:14" x14ac:dyDescent="0.25">
      <c r="A64" s="923">
        <v>54</v>
      </c>
      <c r="B64" s="410" t="s">
        <v>121</v>
      </c>
      <c r="C64" s="411" t="s">
        <v>122</v>
      </c>
      <c r="D64" s="531"/>
      <c r="E64" s="151"/>
      <c r="F64" s="151"/>
      <c r="G64" s="151"/>
      <c r="H64" s="152">
        <f t="shared" si="3"/>
        <v>0</v>
      </c>
      <c r="I64" s="152">
        <f t="shared" si="3"/>
        <v>0</v>
      </c>
      <c r="J64" s="528">
        <f t="shared" si="4"/>
        <v>0</v>
      </c>
      <c r="K64" s="649"/>
      <c r="L64" s="649"/>
      <c r="M64" s="151"/>
      <c r="N64" s="528">
        <f t="shared" si="5"/>
        <v>0</v>
      </c>
    </row>
    <row r="65" spans="1:14" x14ac:dyDescent="0.25">
      <c r="A65" s="923">
        <v>55</v>
      </c>
      <c r="B65" s="410" t="s">
        <v>123</v>
      </c>
      <c r="C65" s="411" t="s">
        <v>124</v>
      </c>
      <c r="D65" s="531"/>
      <c r="E65" s="151"/>
      <c r="F65" s="151"/>
      <c r="G65" s="151"/>
      <c r="H65" s="152">
        <f t="shared" si="3"/>
        <v>0</v>
      </c>
      <c r="I65" s="152">
        <f t="shared" si="3"/>
        <v>0</v>
      </c>
      <c r="J65" s="528">
        <f t="shared" si="4"/>
        <v>0</v>
      </c>
      <c r="K65" s="649"/>
      <c r="L65" s="649"/>
      <c r="M65" s="151"/>
      <c r="N65" s="528">
        <f t="shared" si="5"/>
        <v>0</v>
      </c>
    </row>
    <row r="66" spans="1:14" x14ac:dyDescent="0.25">
      <c r="A66" s="923">
        <v>56</v>
      </c>
      <c r="B66" s="924" t="s">
        <v>125</v>
      </c>
      <c r="C66" s="418" t="s">
        <v>126</v>
      </c>
      <c r="D66" s="531"/>
      <c r="E66" s="151"/>
      <c r="F66" s="151"/>
      <c r="G66" s="151"/>
      <c r="H66" s="152">
        <f t="shared" si="3"/>
        <v>0</v>
      </c>
      <c r="I66" s="152">
        <f t="shared" si="3"/>
        <v>0</v>
      </c>
      <c r="J66" s="528">
        <f t="shared" si="4"/>
        <v>0</v>
      </c>
      <c r="K66" s="649"/>
      <c r="L66" s="649"/>
      <c r="M66" s="151"/>
      <c r="N66" s="528">
        <f t="shared" si="5"/>
        <v>0</v>
      </c>
    </row>
    <row r="67" spans="1:14" ht="24" x14ac:dyDescent="0.25">
      <c r="A67" s="923">
        <v>57</v>
      </c>
      <c r="B67" s="410" t="s">
        <v>127</v>
      </c>
      <c r="C67" s="411" t="s">
        <v>128</v>
      </c>
      <c r="D67" s="531"/>
      <c r="E67" s="151"/>
      <c r="F67" s="151"/>
      <c r="G67" s="151"/>
      <c r="H67" s="152">
        <f t="shared" si="3"/>
        <v>0</v>
      </c>
      <c r="I67" s="152">
        <f t="shared" si="3"/>
        <v>0</v>
      </c>
      <c r="J67" s="528">
        <f t="shared" si="4"/>
        <v>0</v>
      </c>
      <c r="K67" s="649"/>
      <c r="L67" s="649"/>
      <c r="M67" s="151"/>
      <c r="N67" s="528">
        <f t="shared" si="5"/>
        <v>0</v>
      </c>
    </row>
    <row r="68" spans="1:14" ht="24" x14ac:dyDescent="0.25">
      <c r="A68" s="923">
        <v>58</v>
      </c>
      <c r="B68" s="410" t="s">
        <v>129</v>
      </c>
      <c r="C68" s="411" t="s">
        <v>460</v>
      </c>
      <c r="D68" s="531"/>
      <c r="E68" s="151"/>
      <c r="F68" s="151"/>
      <c r="G68" s="151"/>
      <c r="H68" s="152">
        <f t="shared" si="3"/>
        <v>0</v>
      </c>
      <c r="I68" s="152">
        <f t="shared" si="3"/>
        <v>0</v>
      </c>
      <c r="J68" s="528">
        <f t="shared" si="4"/>
        <v>0</v>
      </c>
      <c r="K68" s="649"/>
      <c r="L68" s="649"/>
      <c r="M68" s="151"/>
      <c r="N68" s="528">
        <f t="shared" si="5"/>
        <v>0</v>
      </c>
    </row>
    <row r="69" spans="1:14" ht="24" customHeight="1" x14ac:dyDescent="0.25">
      <c r="A69" s="923">
        <v>59</v>
      </c>
      <c r="B69" s="410" t="s">
        <v>131</v>
      </c>
      <c r="C69" s="411" t="s">
        <v>132</v>
      </c>
      <c r="D69" s="531"/>
      <c r="E69" s="151"/>
      <c r="F69" s="151"/>
      <c r="G69" s="151"/>
      <c r="H69" s="152">
        <f t="shared" si="3"/>
        <v>0</v>
      </c>
      <c r="I69" s="152">
        <f t="shared" si="3"/>
        <v>0</v>
      </c>
      <c r="J69" s="528">
        <f t="shared" si="4"/>
        <v>0</v>
      </c>
      <c r="K69" s="649"/>
      <c r="L69" s="649"/>
      <c r="M69" s="151"/>
      <c r="N69" s="528">
        <f t="shared" si="5"/>
        <v>0</v>
      </c>
    </row>
    <row r="70" spans="1:14" ht="24" x14ac:dyDescent="0.25">
      <c r="A70" s="923">
        <v>60</v>
      </c>
      <c r="B70" s="408" t="s">
        <v>133</v>
      </c>
      <c r="C70" s="411" t="s">
        <v>299</v>
      </c>
      <c r="D70" s="531"/>
      <c r="E70" s="151">
        <f>288</f>
        <v>288</v>
      </c>
      <c r="F70" s="151"/>
      <c r="G70" s="151">
        <v>287</v>
      </c>
      <c r="H70" s="152">
        <f t="shared" si="3"/>
        <v>0</v>
      </c>
      <c r="I70" s="152">
        <f t="shared" si="3"/>
        <v>575</v>
      </c>
      <c r="J70" s="528">
        <f t="shared" si="4"/>
        <v>575</v>
      </c>
      <c r="K70" s="649"/>
      <c r="L70" s="649"/>
      <c r="M70" s="151"/>
      <c r="N70" s="528">
        <f t="shared" si="5"/>
        <v>0</v>
      </c>
    </row>
    <row r="71" spans="1:14" ht="24" x14ac:dyDescent="0.25">
      <c r="A71" s="923">
        <v>61</v>
      </c>
      <c r="B71" s="701" t="s">
        <v>135</v>
      </c>
      <c r="C71" s="411" t="s">
        <v>462</v>
      </c>
      <c r="D71" s="531"/>
      <c r="E71" s="151"/>
      <c r="F71" s="151"/>
      <c r="G71" s="151"/>
      <c r="H71" s="152">
        <f t="shared" si="3"/>
        <v>0</v>
      </c>
      <c r="I71" s="152">
        <f t="shared" si="3"/>
        <v>0</v>
      </c>
      <c r="J71" s="528">
        <f t="shared" si="4"/>
        <v>0</v>
      </c>
      <c r="K71" s="649"/>
      <c r="L71" s="649"/>
      <c r="M71" s="151"/>
      <c r="N71" s="528">
        <f t="shared" si="5"/>
        <v>0</v>
      </c>
    </row>
    <row r="72" spans="1:14" ht="24" x14ac:dyDescent="0.25">
      <c r="A72" s="923">
        <v>62</v>
      </c>
      <c r="B72" s="408" t="s">
        <v>137</v>
      </c>
      <c r="C72" s="411" t="s">
        <v>645</v>
      </c>
      <c r="D72" s="531"/>
      <c r="E72" s="151"/>
      <c r="F72" s="151"/>
      <c r="G72" s="151"/>
      <c r="H72" s="152">
        <f t="shared" si="3"/>
        <v>0</v>
      </c>
      <c r="I72" s="152">
        <f t="shared" si="3"/>
        <v>0</v>
      </c>
      <c r="J72" s="528">
        <f t="shared" si="4"/>
        <v>0</v>
      </c>
      <c r="K72" s="649"/>
      <c r="L72" s="649"/>
      <c r="M72" s="151"/>
      <c r="N72" s="528">
        <f t="shared" si="5"/>
        <v>0</v>
      </c>
    </row>
    <row r="73" spans="1:14" ht="24" x14ac:dyDescent="0.25">
      <c r="A73" s="923">
        <v>63</v>
      </c>
      <c r="B73" s="410" t="s">
        <v>139</v>
      </c>
      <c r="C73" s="411" t="s">
        <v>646</v>
      </c>
      <c r="D73" s="531"/>
      <c r="E73" s="151"/>
      <c r="F73" s="151"/>
      <c r="G73" s="151"/>
      <c r="H73" s="152">
        <f t="shared" si="3"/>
        <v>0</v>
      </c>
      <c r="I73" s="152">
        <f t="shared" si="3"/>
        <v>0</v>
      </c>
      <c r="J73" s="528">
        <f t="shared" si="4"/>
        <v>0</v>
      </c>
      <c r="K73" s="649"/>
      <c r="L73" s="649"/>
      <c r="M73" s="151"/>
      <c r="N73" s="528">
        <f t="shared" si="5"/>
        <v>0</v>
      </c>
    </row>
    <row r="74" spans="1:14" ht="12" customHeight="1" x14ac:dyDescent="0.25">
      <c r="A74" s="923">
        <v>64</v>
      </c>
      <c r="B74" s="408" t="s">
        <v>141</v>
      </c>
      <c r="C74" s="411" t="s">
        <v>457</v>
      </c>
      <c r="D74" s="531">
        <f>2783-47</f>
        <v>2736</v>
      </c>
      <c r="E74" s="151">
        <v>552</v>
      </c>
      <c r="F74" s="151">
        <f>2783-172</f>
        <v>2611</v>
      </c>
      <c r="G74" s="151"/>
      <c r="H74" s="152">
        <f t="shared" si="3"/>
        <v>5347</v>
      </c>
      <c r="I74" s="152">
        <f t="shared" si="3"/>
        <v>552</v>
      </c>
      <c r="J74" s="528">
        <f t="shared" si="4"/>
        <v>5899</v>
      </c>
      <c r="K74" s="649"/>
      <c r="L74" s="649"/>
      <c r="M74" s="151"/>
      <c r="N74" s="528">
        <f t="shared" si="5"/>
        <v>0</v>
      </c>
    </row>
    <row r="75" spans="1:14" x14ac:dyDescent="0.25">
      <c r="A75" s="923">
        <v>65</v>
      </c>
      <c r="B75" s="408" t="s">
        <v>143</v>
      </c>
      <c r="C75" s="411" t="s">
        <v>144</v>
      </c>
      <c r="D75" s="531">
        <f>2191-29</f>
        <v>2162</v>
      </c>
      <c r="E75" s="151">
        <v>545</v>
      </c>
      <c r="F75" s="151">
        <f>2191-108</f>
        <v>2083</v>
      </c>
      <c r="G75" s="151"/>
      <c r="H75" s="152">
        <f t="shared" si="3"/>
        <v>4245</v>
      </c>
      <c r="I75" s="152">
        <f t="shared" si="3"/>
        <v>545</v>
      </c>
      <c r="J75" s="528">
        <f t="shared" si="4"/>
        <v>4790</v>
      </c>
      <c r="K75" s="649"/>
      <c r="L75" s="649"/>
      <c r="M75" s="151"/>
      <c r="N75" s="528">
        <f t="shared" si="5"/>
        <v>0</v>
      </c>
    </row>
    <row r="76" spans="1:14" x14ac:dyDescent="0.25">
      <c r="A76" s="923">
        <v>66</v>
      </c>
      <c r="B76" s="408" t="s">
        <v>145</v>
      </c>
      <c r="C76" s="411" t="s">
        <v>458</v>
      </c>
      <c r="D76" s="531">
        <f>3429-67</f>
        <v>3362</v>
      </c>
      <c r="E76" s="151"/>
      <c r="F76" s="151">
        <f>3427-245</f>
        <v>3182</v>
      </c>
      <c r="G76" s="151"/>
      <c r="H76" s="152">
        <f t="shared" ref="H76:I139" si="6">D76+F76</f>
        <v>6544</v>
      </c>
      <c r="I76" s="152">
        <f t="shared" si="6"/>
        <v>0</v>
      </c>
      <c r="J76" s="528">
        <f t="shared" ref="J76:J139" si="7">H76+I76</f>
        <v>6544</v>
      </c>
      <c r="K76" s="649"/>
      <c r="L76" s="649"/>
      <c r="M76" s="151"/>
      <c r="N76" s="528">
        <f t="shared" ref="N76:N139" si="8">K76+L76+M76</f>
        <v>0</v>
      </c>
    </row>
    <row r="77" spans="1:14" ht="24" x14ac:dyDescent="0.25">
      <c r="A77" s="923">
        <v>67</v>
      </c>
      <c r="B77" s="408" t="s">
        <v>147</v>
      </c>
      <c r="C77" s="411" t="s">
        <v>647</v>
      </c>
      <c r="D77" s="531"/>
      <c r="E77" s="151"/>
      <c r="F77" s="151"/>
      <c r="G77" s="151"/>
      <c r="H77" s="152">
        <f t="shared" si="6"/>
        <v>0</v>
      </c>
      <c r="I77" s="152">
        <f t="shared" si="6"/>
        <v>0</v>
      </c>
      <c r="J77" s="528">
        <f t="shared" si="7"/>
        <v>0</v>
      </c>
      <c r="K77" s="649"/>
      <c r="L77" s="649"/>
      <c r="M77" s="151"/>
      <c r="N77" s="528">
        <f t="shared" si="8"/>
        <v>0</v>
      </c>
    </row>
    <row r="78" spans="1:14" ht="24" x14ac:dyDescent="0.25">
      <c r="A78" s="923">
        <v>68</v>
      </c>
      <c r="B78" s="408" t="s">
        <v>149</v>
      </c>
      <c r="C78" s="411" t="s">
        <v>464</v>
      </c>
      <c r="D78" s="531"/>
      <c r="E78" s="151"/>
      <c r="F78" s="151"/>
      <c r="G78" s="151"/>
      <c r="H78" s="152">
        <f t="shared" si="6"/>
        <v>0</v>
      </c>
      <c r="I78" s="152">
        <f t="shared" si="6"/>
        <v>0</v>
      </c>
      <c r="J78" s="528">
        <f t="shared" si="7"/>
        <v>0</v>
      </c>
      <c r="K78" s="649"/>
      <c r="L78" s="649"/>
      <c r="M78" s="151"/>
      <c r="N78" s="528">
        <f t="shared" si="8"/>
        <v>0</v>
      </c>
    </row>
    <row r="79" spans="1:14" ht="24" x14ac:dyDescent="0.25">
      <c r="A79" s="923">
        <v>69</v>
      </c>
      <c r="B79" s="408" t="s">
        <v>151</v>
      </c>
      <c r="C79" s="411" t="s">
        <v>648</v>
      </c>
      <c r="D79" s="531"/>
      <c r="E79" s="151"/>
      <c r="F79" s="151"/>
      <c r="G79" s="151"/>
      <c r="H79" s="152">
        <f t="shared" si="6"/>
        <v>0</v>
      </c>
      <c r="I79" s="152">
        <f t="shared" si="6"/>
        <v>0</v>
      </c>
      <c r="J79" s="528">
        <f t="shared" si="7"/>
        <v>0</v>
      </c>
      <c r="K79" s="649"/>
      <c r="L79" s="649"/>
      <c r="M79" s="151"/>
      <c r="N79" s="528">
        <f t="shared" si="8"/>
        <v>0</v>
      </c>
    </row>
    <row r="80" spans="1:14" ht="24" x14ac:dyDescent="0.25">
      <c r="A80" s="923">
        <v>70</v>
      </c>
      <c r="B80" s="408" t="s">
        <v>153</v>
      </c>
      <c r="C80" s="411" t="s">
        <v>649</v>
      </c>
      <c r="D80" s="531"/>
      <c r="E80" s="151"/>
      <c r="F80" s="151"/>
      <c r="G80" s="151"/>
      <c r="H80" s="152">
        <f t="shared" si="6"/>
        <v>0</v>
      </c>
      <c r="I80" s="152">
        <f t="shared" si="6"/>
        <v>0</v>
      </c>
      <c r="J80" s="528">
        <f t="shared" si="7"/>
        <v>0</v>
      </c>
      <c r="K80" s="649"/>
      <c r="L80" s="649"/>
      <c r="M80" s="151"/>
      <c r="N80" s="528">
        <f t="shared" si="8"/>
        <v>0</v>
      </c>
    </row>
    <row r="81" spans="1:14" ht="24" x14ac:dyDescent="0.25">
      <c r="A81" s="923">
        <v>71</v>
      </c>
      <c r="B81" s="410" t="s">
        <v>155</v>
      </c>
      <c r="C81" s="411" t="s">
        <v>650</v>
      </c>
      <c r="D81" s="531"/>
      <c r="E81" s="151"/>
      <c r="F81" s="151"/>
      <c r="G81" s="151"/>
      <c r="H81" s="152">
        <f t="shared" si="6"/>
        <v>0</v>
      </c>
      <c r="I81" s="152">
        <f t="shared" si="6"/>
        <v>0</v>
      </c>
      <c r="J81" s="528">
        <f t="shared" si="7"/>
        <v>0</v>
      </c>
      <c r="K81" s="649"/>
      <c r="L81" s="649"/>
      <c r="M81" s="151"/>
      <c r="N81" s="528">
        <f t="shared" si="8"/>
        <v>0</v>
      </c>
    </row>
    <row r="82" spans="1:14" ht="24" x14ac:dyDescent="0.25">
      <c r="A82" s="923">
        <v>72</v>
      </c>
      <c r="B82" s="408" t="s">
        <v>157</v>
      </c>
      <c r="C82" s="409" t="s">
        <v>651</v>
      </c>
      <c r="D82" s="531"/>
      <c r="E82" s="151"/>
      <c r="F82" s="151"/>
      <c r="G82" s="151"/>
      <c r="H82" s="152">
        <f t="shared" si="6"/>
        <v>0</v>
      </c>
      <c r="I82" s="152">
        <f t="shared" si="6"/>
        <v>0</v>
      </c>
      <c r="J82" s="528">
        <f t="shared" si="7"/>
        <v>0</v>
      </c>
      <c r="K82" s="649"/>
      <c r="L82" s="649"/>
      <c r="M82" s="151"/>
      <c r="N82" s="528">
        <f t="shared" si="8"/>
        <v>0</v>
      </c>
    </row>
    <row r="83" spans="1:14" ht="24" x14ac:dyDescent="0.25">
      <c r="A83" s="923">
        <v>73</v>
      </c>
      <c r="B83" s="410" t="s">
        <v>159</v>
      </c>
      <c r="C83" s="411" t="s">
        <v>652</v>
      </c>
      <c r="D83" s="531"/>
      <c r="E83" s="151"/>
      <c r="F83" s="151"/>
      <c r="G83" s="151"/>
      <c r="H83" s="152">
        <f t="shared" si="6"/>
        <v>0</v>
      </c>
      <c r="I83" s="152">
        <f t="shared" si="6"/>
        <v>0</v>
      </c>
      <c r="J83" s="528">
        <f t="shared" si="7"/>
        <v>0</v>
      </c>
      <c r="K83" s="649"/>
      <c r="L83" s="649"/>
      <c r="M83" s="151"/>
      <c r="N83" s="528">
        <f t="shared" si="8"/>
        <v>0</v>
      </c>
    </row>
    <row r="84" spans="1:14" ht="15" customHeight="1" x14ac:dyDescent="0.25">
      <c r="A84" s="923">
        <v>74</v>
      </c>
      <c r="B84" s="408" t="s">
        <v>161</v>
      </c>
      <c r="C84" s="411" t="s">
        <v>162</v>
      </c>
      <c r="D84" s="531">
        <f>1143-49</f>
        <v>1094</v>
      </c>
      <c r="E84" s="151"/>
      <c r="F84" s="151">
        <f>1142-182</f>
        <v>960</v>
      </c>
      <c r="G84" s="151"/>
      <c r="H84" s="152">
        <f t="shared" si="6"/>
        <v>2054</v>
      </c>
      <c r="I84" s="152">
        <f t="shared" si="6"/>
        <v>0</v>
      </c>
      <c r="J84" s="528">
        <f t="shared" si="7"/>
        <v>2054</v>
      </c>
      <c r="K84" s="649">
        <v>0</v>
      </c>
      <c r="L84" s="649">
        <v>1650</v>
      </c>
      <c r="M84" s="151">
        <v>2475</v>
      </c>
      <c r="N84" s="528">
        <f t="shared" si="8"/>
        <v>4125</v>
      </c>
    </row>
    <row r="85" spans="1:14" x14ac:dyDescent="0.25">
      <c r="A85" s="923">
        <v>75</v>
      </c>
      <c r="B85" s="410" t="s">
        <v>163</v>
      </c>
      <c r="C85" s="411" t="s">
        <v>459</v>
      </c>
      <c r="D85" s="531">
        <f>4113-135</f>
        <v>3978</v>
      </c>
      <c r="E85" s="151">
        <f>543-90</f>
        <v>453</v>
      </c>
      <c r="F85" s="151">
        <f>4112-499</f>
        <v>3613</v>
      </c>
      <c r="G85" s="151"/>
      <c r="H85" s="152">
        <f t="shared" si="6"/>
        <v>7591</v>
      </c>
      <c r="I85" s="152">
        <f t="shared" si="6"/>
        <v>453</v>
      </c>
      <c r="J85" s="528">
        <f t="shared" si="7"/>
        <v>8044</v>
      </c>
      <c r="K85" s="649">
        <v>1650</v>
      </c>
      <c r="L85" s="649">
        <v>3300</v>
      </c>
      <c r="M85" s="151">
        <v>4950</v>
      </c>
      <c r="N85" s="528">
        <f t="shared" si="8"/>
        <v>9900</v>
      </c>
    </row>
    <row r="86" spans="1:14" x14ac:dyDescent="0.25">
      <c r="A86" s="923">
        <v>76</v>
      </c>
      <c r="B86" s="410" t="s">
        <v>165</v>
      </c>
      <c r="C86" s="411" t="s">
        <v>166</v>
      </c>
      <c r="D86" s="531">
        <f>2243-50</f>
        <v>2193</v>
      </c>
      <c r="E86" s="151">
        <v>323</v>
      </c>
      <c r="F86" s="151">
        <f>2242-185</f>
        <v>2057</v>
      </c>
      <c r="G86" s="151">
        <v>323</v>
      </c>
      <c r="H86" s="152">
        <f t="shared" si="6"/>
        <v>4250</v>
      </c>
      <c r="I86" s="152">
        <f t="shared" si="6"/>
        <v>646</v>
      </c>
      <c r="J86" s="528">
        <f t="shared" si="7"/>
        <v>4896</v>
      </c>
      <c r="K86" s="649">
        <v>1925</v>
      </c>
      <c r="L86" s="649">
        <v>3190</v>
      </c>
      <c r="M86" s="151">
        <v>3135</v>
      </c>
      <c r="N86" s="528">
        <f t="shared" si="8"/>
        <v>8250</v>
      </c>
    </row>
    <row r="87" spans="1:14" s="532" customFormat="1" x14ac:dyDescent="0.25">
      <c r="A87" s="923">
        <v>77</v>
      </c>
      <c r="B87" s="408" t="s">
        <v>167</v>
      </c>
      <c r="C87" s="411" t="s">
        <v>168</v>
      </c>
      <c r="D87" s="406">
        <f>483-15</f>
        <v>468</v>
      </c>
      <c r="E87" s="407">
        <f>383-80</f>
        <v>303</v>
      </c>
      <c r="F87" s="407">
        <f>482-54</f>
        <v>428</v>
      </c>
      <c r="G87" s="407"/>
      <c r="H87" s="152">
        <f t="shared" si="6"/>
        <v>896</v>
      </c>
      <c r="I87" s="152">
        <f t="shared" si="6"/>
        <v>303</v>
      </c>
      <c r="J87" s="528">
        <f t="shared" si="7"/>
        <v>1199</v>
      </c>
      <c r="K87" s="649">
        <v>825</v>
      </c>
      <c r="L87" s="649">
        <v>1650</v>
      </c>
      <c r="M87" s="151">
        <v>2475</v>
      </c>
      <c r="N87" s="528">
        <f t="shared" si="8"/>
        <v>4950</v>
      </c>
    </row>
    <row r="88" spans="1:14" s="532" customFormat="1" x14ac:dyDescent="0.25">
      <c r="A88" s="923">
        <v>78</v>
      </c>
      <c r="B88" s="408" t="s">
        <v>169</v>
      </c>
      <c r="C88" s="411" t="s">
        <v>170</v>
      </c>
      <c r="D88" s="406">
        <f>840-39</f>
        <v>801</v>
      </c>
      <c r="E88" s="407">
        <v>500</v>
      </c>
      <c r="F88" s="407">
        <f>840-145</f>
        <v>695</v>
      </c>
      <c r="G88" s="407"/>
      <c r="H88" s="152">
        <f t="shared" si="6"/>
        <v>1496</v>
      </c>
      <c r="I88" s="152">
        <f t="shared" si="6"/>
        <v>500</v>
      </c>
      <c r="J88" s="528">
        <f t="shared" si="7"/>
        <v>1996</v>
      </c>
      <c r="K88" s="649">
        <v>825</v>
      </c>
      <c r="L88" s="649">
        <v>1650</v>
      </c>
      <c r="M88" s="151">
        <v>2475</v>
      </c>
      <c r="N88" s="528">
        <f t="shared" si="8"/>
        <v>4950</v>
      </c>
    </row>
    <row r="89" spans="1:14" s="532" customFormat="1" x14ac:dyDescent="0.25">
      <c r="A89" s="923">
        <v>79</v>
      </c>
      <c r="B89" s="408" t="s">
        <v>171</v>
      </c>
      <c r="C89" s="411" t="s">
        <v>172</v>
      </c>
      <c r="D89" s="406"/>
      <c r="E89" s="407">
        <f>263-90</f>
        <v>173</v>
      </c>
      <c r="F89" s="407"/>
      <c r="G89" s="407">
        <v>263</v>
      </c>
      <c r="H89" s="152">
        <f t="shared" si="6"/>
        <v>0</v>
      </c>
      <c r="I89" s="152">
        <f t="shared" si="6"/>
        <v>436</v>
      </c>
      <c r="J89" s="528">
        <f t="shared" si="7"/>
        <v>436</v>
      </c>
      <c r="K89" s="649">
        <v>550</v>
      </c>
      <c r="L89" s="649">
        <v>1540</v>
      </c>
      <c r="M89" s="151">
        <v>2310</v>
      </c>
      <c r="N89" s="528">
        <f t="shared" si="8"/>
        <v>4400</v>
      </c>
    </row>
    <row r="90" spans="1:14" x14ac:dyDescent="0.25">
      <c r="A90" s="923">
        <v>80</v>
      </c>
      <c r="B90" s="408" t="s">
        <v>173</v>
      </c>
      <c r="C90" s="411" t="s">
        <v>622</v>
      </c>
      <c r="D90" s="531">
        <f>2667-67</f>
        <v>2600</v>
      </c>
      <c r="E90" s="151"/>
      <c r="F90" s="151">
        <f>2665-247</f>
        <v>2418</v>
      </c>
      <c r="G90" s="151"/>
      <c r="H90" s="152">
        <f t="shared" si="6"/>
        <v>5018</v>
      </c>
      <c r="I90" s="152">
        <f t="shared" si="6"/>
        <v>0</v>
      </c>
      <c r="J90" s="528">
        <f t="shared" si="7"/>
        <v>5018</v>
      </c>
      <c r="K90" s="649">
        <f>1815-10</f>
        <v>1805</v>
      </c>
      <c r="L90" s="649">
        <v>3080</v>
      </c>
      <c r="M90" s="151">
        <v>1650</v>
      </c>
      <c r="N90" s="528">
        <f t="shared" si="8"/>
        <v>6535</v>
      </c>
    </row>
    <row r="91" spans="1:14" x14ac:dyDescent="0.25">
      <c r="A91" s="923">
        <v>81</v>
      </c>
      <c r="B91" s="408" t="s">
        <v>175</v>
      </c>
      <c r="C91" s="411" t="s">
        <v>176</v>
      </c>
      <c r="D91" s="531"/>
      <c r="E91" s="151"/>
      <c r="F91" s="151"/>
      <c r="G91" s="151"/>
      <c r="H91" s="152">
        <f t="shared" si="6"/>
        <v>0</v>
      </c>
      <c r="I91" s="152">
        <f t="shared" si="6"/>
        <v>0</v>
      </c>
      <c r="J91" s="528">
        <f t="shared" si="7"/>
        <v>0</v>
      </c>
      <c r="K91" s="649"/>
      <c r="L91" s="649"/>
      <c r="M91" s="151"/>
      <c r="N91" s="528">
        <f t="shared" si="8"/>
        <v>0</v>
      </c>
    </row>
    <row r="92" spans="1:14" x14ac:dyDescent="0.25">
      <c r="A92" s="923">
        <v>82</v>
      </c>
      <c r="B92" s="419" t="s">
        <v>177</v>
      </c>
      <c r="C92" s="418" t="s">
        <v>760</v>
      </c>
      <c r="D92" s="531"/>
      <c r="E92" s="151"/>
      <c r="F92" s="151"/>
      <c r="G92" s="151"/>
      <c r="H92" s="152">
        <f t="shared" si="6"/>
        <v>0</v>
      </c>
      <c r="I92" s="152">
        <f t="shared" si="6"/>
        <v>0</v>
      </c>
      <c r="J92" s="528">
        <f t="shared" si="7"/>
        <v>0</v>
      </c>
      <c r="K92" s="649"/>
      <c r="L92" s="649"/>
      <c r="M92" s="151"/>
      <c r="N92" s="528">
        <f t="shared" si="8"/>
        <v>0</v>
      </c>
    </row>
    <row r="93" spans="1:14" ht="24" x14ac:dyDescent="0.25">
      <c r="A93" s="1189">
        <v>83</v>
      </c>
      <c r="B93" s="1192" t="s">
        <v>178</v>
      </c>
      <c r="C93" s="420" t="s">
        <v>761</v>
      </c>
      <c r="D93" s="531"/>
      <c r="E93" s="151"/>
      <c r="F93" s="151"/>
      <c r="G93" s="151"/>
      <c r="H93" s="152">
        <f t="shared" si="6"/>
        <v>0</v>
      </c>
      <c r="I93" s="152">
        <f t="shared" si="6"/>
        <v>0</v>
      </c>
      <c r="J93" s="528">
        <f t="shared" si="7"/>
        <v>0</v>
      </c>
      <c r="K93" s="649"/>
      <c r="L93" s="649"/>
      <c r="M93" s="151"/>
      <c r="N93" s="528">
        <f t="shared" si="8"/>
        <v>0</v>
      </c>
    </row>
    <row r="94" spans="1:14" ht="24" x14ac:dyDescent="0.25">
      <c r="A94" s="1190"/>
      <c r="B94" s="1193"/>
      <c r="C94" s="418" t="s">
        <v>179</v>
      </c>
      <c r="D94" s="531"/>
      <c r="E94" s="151"/>
      <c r="F94" s="151"/>
      <c r="G94" s="151"/>
      <c r="H94" s="152">
        <f t="shared" si="6"/>
        <v>0</v>
      </c>
      <c r="I94" s="152">
        <f t="shared" si="6"/>
        <v>0</v>
      </c>
      <c r="J94" s="528">
        <f t="shared" si="7"/>
        <v>0</v>
      </c>
      <c r="K94" s="649"/>
      <c r="L94" s="649"/>
      <c r="M94" s="151"/>
      <c r="N94" s="528">
        <f t="shared" si="8"/>
        <v>0</v>
      </c>
    </row>
    <row r="95" spans="1:14" ht="24" x14ac:dyDescent="0.25">
      <c r="A95" s="1190"/>
      <c r="B95" s="1193"/>
      <c r="C95" s="418" t="s">
        <v>180</v>
      </c>
      <c r="D95" s="531"/>
      <c r="E95" s="151"/>
      <c r="F95" s="151"/>
      <c r="G95" s="151"/>
      <c r="H95" s="152">
        <f t="shared" si="6"/>
        <v>0</v>
      </c>
      <c r="I95" s="152">
        <f t="shared" si="6"/>
        <v>0</v>
      </c>
      <c r="J95" s="528">
        <f t="shared" si="7"/>
        <v>0</v>
      </c>
      <c r="K95" s="649"/>
      <c r="L95" s="649"/>
      <c r="M95" s="151"/>
      <c r="N95" s="528">
        <f t="shared" si="8"/>
        <v>0</v>
      </c>
    </row>
    <row r="96" spans="1:14" ht="48" x14ac:dyDescent="0.25">
      <c r="A96" s="1191"/>
      <c r="B96" s="1194"/>
      <c r="C96" s="421" t="s">
        <v>510</v>
      </c>
      <c r="D96" s="531"/>
      <c r="E96" s="151"/>
      <c r="F96" s="151"/>
      <c r="G96" s="151"/>
      <c r="H96" s="152">
        <f t="shared" si="6"/>
        <v>0</v>
      </c>
      <c r="I96" s="152">
        <f t="shared" si="6"/>
        <v>0</v>
      </c>
      <c r="J96" s="528">
        <f t="shared" si="7"/>
        <v>0</v>
      </c>
      <c r="K96" s="649"/>
      <c r="L96" s="649"/>
      <c r="M96" s="151"/>
      <c r="N96" s="528">
        <f t="shared" si="8"/>
        <v>0</v>
      </c>
    </row>
    <row r="97" spans="1:14" ht="24" x14ac:dyDescent="0.25">
      <c r="A97" s="923">
        <v>84</v>
      </c>
      <c r="B97" s="410" t="s">
        <v>181</v>
      </c>
      <c r="C97" s="411" t="s">
        <v>182</v>
      </c>
      <c r="D97" s="531"/>
      <c r="E97" s="151"/>
      <c r="F97" s="151"/>
      <c r="G97" s="151"/>
      <c r="H97" s="152">
        <f t="shared" si="6"/>
        <v>0</v>
      </c>
      <c r="I97" s="152">
        <f t="shared" si="6"/>
        <v>0</v>
      </c>
      <c r="J97" s="528">
        <f t="shared" si="7"/>
        <v>0</v>
      </c>
      <c r="K97" s="649"/>
      <c r="L97" s="649"/>
      <c r="M97" s="151"/>
      <c r="N97" s="528">
        <f t="shared" si="8"/>
        <v>0</v>
      </c>
    </row>
    <row r="98" spans="1:14" x14ac:dyDescent="0.25">
      <c r="A98" s="923">
        <v>85</v>
      </c>
      <c r="B98" s="408" t="s">
        <v>183</v>
      </c>
      <c r="C98" s="411" t="s">
        <v>184</v>
      </c>
      <c r="D98" s="531"/>
      <c r="E98" s="151"/>
      <c r="F98" s="151"/>
      <c r="G98" s="151"/>
      <c r="H98" s="152">
        <f t="shared" si="6"/>
        <v>0</v>
      </c>
      <c r="I98" s="152">
        <f t="shared" si="6"/>
        <v>0</v>
      </c>
      <c r="J98" s="528">
        <f t="shared" si="7"/>
        <v>0</v>
      </c>
      <c r="K98" s="649"/>
      <c r="L98" s="649"/>
      <c r="M98" s="151"/>
      <c r="N98" s="528">
        <f t="shared" si="8"/>
        <v>0</v>
      </c>
    </row>
    <row r="99" spans="1:14" x14ac:dyDescent="0.25">
      <c r="A99" s="923">
        <v>86</v>
      </c>
      <c r="B99" s="410" t="s">
        <v>185</v>
      </c>
      <c r="C99" s="411" t="s">
        <v>186</v>
      </c>
      <c r="D99" s="531"/>
      <c r="E99" s="151"/>
      <c r="F99" s="151"/>
      <c r="G99" s="151"/>
      <c r="H99" s="152">
        <f t="shared" si="6"/>
        <v>0</v>
      </c>
      <c r="I99" s="152">
        <f t="shared" si="6"/>
        <v>0</v>
      </c>
      <c r="J99" s="528">
        <f t="shared" si="7"/>
        <v>0</v>
      </c>
      <c r="K99" s="649"/>
      <c r="L99" s="649"/>
      <c r="M99" s="151"/>
      <c r="N99" s="528">
        <f t="shared" si="8"/>
        <v>0</v>
      </c>
    </row>
    <row r="100" spans="1:14" x14ac:dyDescent="0.25">
      <c r="A100" s="923">
        <v>87</v>
      </c>
      <c r="B100" s="701" t="s">
        <v>187</v>
      </c>
      <c r="C100" s="412" t="s">
        <v>188</v>
      </c>
      <c r="D100" s="531"/>
      <c r="E100" s="151"/>
      <c r="F100" s="151"/>
      <c r="G100" s="151"/>
      <c r="H100" s="152">
        <f t="shared" si="6"/>
        <v>0</v>
      </c>
      <c r="I100" s="152">
        <f t="shared" si="6"/>
        <v>0</v>
      </c>
      <c r="J100" s="528">
        <f t="shared" si="7"/>
        <v>0</v>
      </c>
      <c r="K100" s="649">
        <v>550</v>
      </c>
      <c r="L100" s="649">
        <v>1100</v>
      </c>
      <c r="M100" s="151">
        <v>1650</v>
      </c>
      <c r="N100" s="528">
        <f t="shared" si="8"/>
        <v>3300</v>
      </c>
    </row>
    <row r="101" spans="1:14" x14ac:dyDescent="0.25">
      <c r="A101" s="923">
        <v>88</v>
      </c>
      <c r="B101" s="408" t="s">
        <v>189</v>
      </c>
      <c r="C101" s="411" t="s">
        <v>190</v>
      </c>
      <c r="D101" s="531"/>
      <c r="E101" s="151"/>
      <c r="F101" s="151"/>
      <c r="G101" s="151"/>
      <c r="H101" s="152">
        <f t="shared" si="6"/>
        <v>0</v>
      </c>
      <c r="I101" s="152">
        <f t="shared" si="6"/>
        <v>0</v>
      </c>
      <c r="J101" s="528">
        <f t="shared" si="7"/>
        <v>0</v>
      </c>
      <c r="K101" s="649">
        <v>550</v>
      </c>
      <c r="L101" s="649">
        <v>1100</v>
      </c>
      <c r="M101" s="151">
        <v>1650</v>
      </c>
      <c r="N101" s="528">
        <f t="shared" si="8"/>
        <v>3300</v>
      </c>
    </row>
    <row r="102" spans="1:14" x14ac:dyDescent="0.25">
      <c r="A102" s="923">
        <v>89</v>
      </c>
      <c r="B102" s="408" t="s">
        <v>191</v>
      </c>
      <c r="C102" s="411" t="s">
        <v>192</v>
      </c>
      <c r="D102" s="531">
        <v>942</v>
      </c>
      <c r="E102" s="151">
        <v>115</v>
      </c>
      <c r="F102" s="151">
        <v>942</v>
      </c>
      <c r="G102" s="151">
        <v>114</v>
      </c>
      <c r="H102" s="152">
        <f t="shared" si="6"/>
        <v>1884</v>
      </c>
      <c r="I102" s="152">
        <f t="shared" si="6"/>
        <v>229</v>
      </c>
      <c r="J102" s="528">
        <f t="shared" si="7"/>
        <v>2113</v>
      </c>
      <c r="K102" s="649">
        <v>550</v>
      </c>
      <c r="L102" s="649">
        <v>1100</v>
      </c>
      <c r="M102" s="151">
        <v>1650</v>
      </c>
      <c r="N102" s="528">
        <f t="shared" si="8"/>
        <v>3300</v>
      </c>
    </row>
    <row r="103" spans="1:14" x14ac:dyDescent="0.25">
      <c r="A103" s="923">
        <v>90</v>
      </c>
      <c r="B103" s="701" t="s">
        <v>193</v>
      </c>
      <c r="C103" s="412" t="s">
        <v>194</v>
      </c>
      <c r="D103" s="531">
        <v>620</v>
      </c>
      <c r="E103" s="151">
        <v>65</v>
      </c>
      <c r="F103" s="151">
        <v>620</v>
      </c>
      <c r="G103" s="151">
        <v>65</v>
      </c>
      <c r="H103" s="152">
        <f t="shared" si="6"/>
        <v>1240</v>
      </c>
      <c r="I103" s="152">
        <f t="shared" si="6"/>
        <v>130</v>
      </c>
      <c r="J103" s="528">
        <f t="shared" si="7"/>
        <v>1370</v>
      </c>
      <c r="K103" s="649">
        <v>275</v>
      </c>
      <c r="L103" s="649">
        <v>550</v>
      </c>
      <c r="M103" s="151">
        <v>825</v>
      </c>
      <c r="N103" s="528">
        <f t="shared" si="8"/>
        <v>1650</v>
      </c>
    </row>
    <row r="104" spans="1:14" x14ac:dyDescent="0.25">
      <c r="A104" s="923">
        <v>91</v>
      </c>
      <c r="B104" s="408" t="s">
        <v>195</v>
      </c>
      <c r="C104" s="411" t="s">
        <v>196</v>
      </c>
      <c r="D104" s="531">
        <v>574</v>
      </c>
      <c r="E104" s="151"/>
      <c r="F104" s="151">
        <v>573</v>
      </c>
      <c r="G104" s="151"/>
      <c r="H104" s="152">
        <f t="shared" si="6"/>
        <v>1147</v>
      </c>
      <c r="I104" s="152">
        <f t="shared" si="6"/>
        <v>0</v>
      </c>
      <c r="J104" s="528">
        <f t="shared" si="7"/>
        <v>1147</v>
      </c>
      <c r="K104" s="649">
        <v>550</v>
      </c>
      <c r="L104" s="649">
        <v>1100</v>
      </c>
      <c r="M104" s="151">
        <v>1650</v>
      </c>
      <c r="N104" s="528">
        <f t="shared" si="8"/>
        <v>3300</v>
      </c>
    </row>
    <row r="105" spans="1:14" x14ac:dyDescent="0.25">
      <c r="A105" s="923">
        <v>92</v>
      </c>
      <c r="B105" s="701" t="s">
        <v>197</v>
      </c>
      <c r="C105" s="412" t="s">
        <v>198</v>
      </c>
      <c r="D105" s="531">
        <v>774</v>
      </c>
      <c r="E105" s="151">
        <v>153</v>
      </c>
      <c r="F105" s="151">
        <v>773</v>
      </c>
      <c r="G105" s="151">
        <v>153</v>
      </c>
      <c r="H105" s="152">
        <f t="shared" si="6"/>
        <v>1547</v>
      </c>
      <c r="I105" s="152">
        <f t="shared" si="6"/>
        <v>306</v>
      </c>
      <c r="J105" s="528">
        <f t="shared" si="7"/>
        <v>1853</v>
      </c>
      <c r="K105" s="649">
        <v>550</v>
      </c>
      <c r="L105" s="649">
        <v>1100</v>
      </c>
      <c r="M105" s="151">
        <v>1650</v>
      </c>
      <c r="N105" s="528">
        <f t="shared" si="8"/>
        <v>3300</v>
      </c>
    </row>
    <row r="106" spans="1:14" x14ac:dyDescent="0.25">
      <c r="A106" s="923">
        <v>93</v>
      </c>
      <c r="B106" s="408" t="s">
        <v>199</v>
      </c>
      <c r="C106" s="411" t="s">
        <v>200</v>
      </c>
      <c r="D106" s="531">
        <v>946</v>
      </c>
      <c r="E106" s="151">
        <v>188</v>
      </c>
      <c r="F106" s="151">
        <v>946</v>
      </c>
      <c r="G106" s="151">
        <v>187</v>
      </c>
      <c r="H106" s="152">
        <f t="shared" si="6"/>
        <v>1892</v>
      </c>
      <c r="I106" s="152">
        <f t="shared" si="6"/>
        <v>375</v>
      </c>
      <c r="J106" s="528">
        <f t="shared" si="7"/>
        <v>2267</v>
      </c>
      <c r="K106" s="649">
        <v>550</v>
      </c>
      <c r="L106" s="649">
        <v>1100</v>
      </c>
      <c r="M106" s="151">
        <v>1650</v>
      </c>
      <c r="N106" s="528">
        <f t="shared" si="8"/>
        <v>3300</v>
      </c>
    </row>
    <row r="107" spans="1:14" x14ac:dyDescent="0.25">
      <c r="A107" s="923">
        <v>94</v>
      </c>
      <c r="B107" s="410" t="s">
        <v>201</v>
      </c>
      <c r="C107" s="411" t="s">
        <v>202</v>
      </c>
      <c r="D107" s="531"/>
      <c r="E107" s="151"/>
      <c r="F107" s="151"/>
      <c r="G107" s="151"/>
      <c r="H107" s="152">
        <f t="shared" si="6"/>
        <v>0</v>
      </c>
      <c r="I107" s="152">
        <f t="shared" si="6"/>
        <v>0</v>
      </c>
      <c r="J107" s="528">
        <f t="shared" si="7"/>
        <v>0</v>
      </c>
      <c r="K107" s="649">
        <v>275</v>
      </c>
      <c r="L107" s="649">
        <v>550</v>
      </c>
      <c r="M107" s="151">
        <v>825</v>
      </c>
      <c r="N107" s="528">
        <f t="shared" si="8"/>
        <v>1650</v>
      </c>
    </row>
    <row r="108" spans="1:14" x14ac:dyDescent="0.25">
      <c r="A108" s="923">
        <v>95</v>
      </c>
      <c r="B108" s="408" t="s">
        <v>203</v>
      </c>
      <c r="C108" s="409" t="s">
        <v>204</v>
      </c>
      <c r="D108" s="531">
        <v>881</v>
      </c>
      <c r="E108" s="151"/>
      <c r="F108" s="151">
        <v>880</v>
      </c>
      <c r="G108" s="151"/>
      <c r="H108" s="152">
        <f t="shared" si="6"/>
        <v>1761</v>
      </c>
      <c r="I108" s="152">
        <f t="shared" si="6"/>
        <v>0</v>
      </c>
      <c r="J108" s="528">
        <f t="shared" si="7"/>
        <v>1761</v>
      </c>
      <c r="K108" s="649">
        <v>550</v>
      </c>
      <c r="L108" s="649">
        <v>1100</v>
      </c>
      <c r="M108" s="151">
        <v>1650</v>
      </c>
      <c r="N108" s="528">
        <f t="shared" si="8"/>
        <v>3300</v>
      </c>
    </row>
    <row r="109" spans="1:14" x14ac:dyDescent="0.25">
      <c r="A109" s="923">
        <v>96</v>
      </c>
      <c r="B109" s="408" t="s">
        <v>205</v>
      </c>
      <c r="C109" s="412" t="s">
        <v>206</v>
      </c>
      <c r="D109" s="531"/>
      <c r="E109" s="151"/>
      <c r="F109" s="151"/>
      <c r="G109" s="151"/>
      <c r="H109" s="152">
        <f t="shared" si="6"/>
        <v>0</v>
      </c>
      <c r="I109" s="152">
        <f t="shared" si="6"/>
        <v>0</v>
      </c>
      <c r="J109" s="528">
        <f t="shared" si="7"/>
        <v>0</v>
      </c>
      <c r="K109" s="649">
        <v>550</v>
      </c>
      <c r="L109" s="649">
        <v>1100</v>
      </c>
      <c r="M109" s="151">
        <v>1650</v>
      </c>
      <c r="N109" s="528">
        <f t="shared" si="8"/>
        <v>3300</v>
      </c>
    </row>
    <row r="110" spans="1:14" x14ac:dyDescent="0.25">
      <c r="A110" s="923">
        <v>97</v>
      </c>
      <c r="B110" s="410" t="s">
        <v>207</v>
      </c>
      <c r="C110" s="411" t="s">
        <v>208</v>
      </c>
      <c r="D110" s="531">
        <v>1930</v>
      </c>
      <c r="E110" s="151">
        <v>265</v>
      </c>
      <c r="F110" s="151">
        <v>1929</v>
      </c>
      <c r="G110" s="151">
        <v>265</v>
      </c>
      <c r="H110" s="152">
        <f t="shared" si="6"/>
        <v>3859</v>
      </c>
      <c r="I110" s="152">
        <f t="shared" si="6"/>
        <v>530</v>
      </c>
      <c r="J110" s="528">
        <f t="shared" si="7"/>
        <v>4389</v>
      </c>
      <c r="K110" s="649">
        <v>605</v>
      </c>
      <c r="L110" s="649">
        <v>1210</v>
      </c>
      <c r="M110" s="151">
        <v>1815</v>
      </c>
      <c r="N110" s="528">
        <f t="shared" si="8"/>
        <v>3630</v>
      </c>
    </row>
    <row r="111" spans="1:14" x14ac:dyDescent="0.25">
      <c r="A111" s="923">
        <v>98</v>
      </c>
      <c r="B111" s="408" t="s">
        <v>209</v>
      </c>
      <c r="C111" s="409" t="s">
        <v>210</v>
      </c>
      <c r="D111" s="531">
        <v>478</v>
      </c>
      <c r="E111" s="151"/>
      <c r="F111" s="151">
        <v>478</v>
      </c>
      <c r="G111" s="151"/>
      <c r="H111" s="152">
        <f t="shared" si="6"/>
        <v>956</v>
      </c>
      <c r="I111" s="152">
        <f t="shared" si="6"/>
        <v>0</v>
      </c>
      <c r="J111" s="528">
        <f t="shared" si="7"/>
        <v>956</v>
      </c>
      <c r="K111" s="649">
        <v>550</v>
      </c>
      <c r="L111" s="649">
        <v>1100</v>
      </c>
      <c r="M111" s="151">
        <v>1650</v>
      </c>
      <c r="N111" s="528">
        <f t="shared" si="8"/>
        <v>3300</v>
      </c>
    </row>
    <row r="112" spans="1:14" x14ac:dyDescent="0.25">
      <c r="A112" s="923">
        <v>99</v>
      </c>
      <c r="B112" s="410" t="s">
        <v>211</v>
      </c>
      <c r="C112" s="411" t="s">
        <v>212</v>
      </c>
      <c r="D112" s="531">
        <v>1353</v>
      </c>
      <c r="E112" s="151">
        <v>198</v>
      </c>
      <c r="F112" s="151">
        <v>1353</v>
      </c>
      <c r="G112" s="151">
        <v>197</v>
      </c>
      <c r="H112" s="152">
        <f t="shared" si="6"/>
        <v>2706</v>
      </c>
      <c r="I112" s="152">
        <f t="shared" si="6"/>
        <v>395</v>
      </c>
      <c r="J112" s="528">
        <f t="shared" si="7"/>
        <v>3101</v>
      </c>
      <c r="K112" s="649">
        <v>550</v>
      </c>
      <c r="L112" s="649">
        <v>1100</v>
      </c>
      <c r="M112" s="151">
        <v>1650</v>
      </c>
      <c r="N112" s="528">
        <f t="shared" si="8"/>
        <v>3300</v>
      </c>
    </row>
    <row r="113" spans="1:14" x14ac:dyDescent="0.25">
      <c r="A113" s="923">
        <v>100</v>
      </c>
      <c r="B113" s="410" t="s">
        <v>213</v>
      </c>
      <c r="C113" s="411" t="s">
        <v>214</v>
      </c>
      <c r="D113" s="531">
        <v>1213</v>
      </c>
      <c r="E113" s="151">
        <v>208</v>
      </c>
      <c r="F113" s="151">
        <v>1213</v>
      </c>
      <c r="G113" s="151">
        <v>208</v>
      </c>
      <c r="H113" s="152">
        <f t="shared" si="6"/>
        <v>2426</v>
      </c>
      <c r="I113" s="152">
        <f t="shared" si="6"/>
        <v>416</v>
      </c>
      <c r="J113" s="528">
        <f t="shared" si="7"/>
        <v>2842</v>
      </c>
      <c r="K113" s="649">
        <v>550</v>
      </c>
      <c r="L113" s="649">
        <v>1100</v>
      </c>
      <c r="M113" s="151">
        <v>1650</v>
      </c>
      <c r="N113" s="528">
        <f t="shared" si="8"/>
        <v>3300</v>
      </c>
    </row>
    <row r="114" spans="1:14" x14ac:dyDescent="0.25">
      <c r="A114" s="923">
        <v>101</v>
      </c>
      <c r="B114" s="408" t="s">
        <v>215</v>
      </c>
      <c r="C114" s="412" t="s">
        <v>216</v>
      </c>
      <c r="D114" s="531"/>
      <c r="E114" s="151"/>
      <c r="F114" s="151"/>
      <c r="G114" s="151"/>
      <c r="H114" s="152">
        <f t="shared" si="6"/>
        <v>0</v>
      </c>
      <c r="I114" s="152">
        <f t="shared" si="6"/>
        <v>0</v>
      </c>
      <c r="J114" s="528">
        <f t="shared" si="7"/>
        <v>0</v>
      </c>
      <c r="K114" s="649">
        <v>550</v>
      </c>
      <c r="L114" s="649">
        <v>1100</v>
      </c>
      <c r="M114" s="151">
        <v>1650</v>
      </c>
      <c r="N114" s="528">
        <f t="shared" si="8"/>
        <v>3300</v>
      </c>
    </row>
    <row r="115" spans="1:14" x14ac:dyDescent="0.25">
      <c r="A115" s="923">
        <v>102</v>
      </c>
      <c r="B115" s="408" t="s">
        <v>217</v>
      </c>
      <c r="C115" s="409" t="s">
        <v>218</v>
      </c>
      <c r="D115" s="531"/>
      <c r="E115" s="151"/>
      <c r="F115" s="151"/>
      <c r="G115" s="151"/>
      <c r="H115" s="152">
        <f t="shared" si="6"/>
        <v>0</v>
      </c>
      <c r="I115" s="152">
        <f t="shared" si="6"/>
        <v>0</v>
      </c>
      <c r="J115" s="528">
        <f t="shared" si="7"/>
        <v>0</v>
      </c>
      <c r="K115" s="649"/>
      <c r="L115" s="649"/>
      <c r="M115" s="151"/>
      <c r="N115" s="528">
        <f t="shared" si="8"/>
        <v>0</v>
      </c>
    </row>
    <row r="116" spans="1:14" x14ac:dyDescent="0.25">
      <c r="A116" s="923">
        <v>103</v>
      </c>
      <c r="B116" s="408" t="s">
        <v>219</v>
      </c>
      <c r="C116" s="409" t="s">
        <v>220</v>
      </c>
      <c r="D116" s="531"/>
      <c r="E116" s="151"/>
      <c r="F116" s="151"/>
      <c r="G116" s="151"/>
      <c r="H116" s="152">
        <f t="shared" si="6"/>
        <v>0</v>
      </c>
      <c r="I116" s="152">
        <f t="shared" si="6"/>
        <v>0</v>
      </c>
      <c r="J116" s="528">
        <f t="shared" si="7"/>
        <v>0</v>
      </c>
      <c r="K116" s="649"/>
      <c r="L116" s="649"/>
      <c r="M116" s="151"/>
      <c r="N116" s="528">
        <f t="shared" si="8"/>
        <v>0</v>
      </c>
    </row>
    <row r="117" spans="1:14" x14ac:dyDescent="0.25">
      <c r="A117" s="923">
        <v>104</v>
      </c>
      <c r="B117" s="408" t="s">
        <v>221</v>
      </c>
      <c r="C117" s="409" t="s">
        <v>222</v>
      </c>
      <c r="D117" s="531"/>
      <c r="E117" s="151"/>
      <c r="F117" s="151"/>
      <c r="G117" s="151"/>
      <c r="H117" s="152">
        <f t="shared" si="6"/>
        <v>0</v>
      </c>
      <c r="I117" s="152">
        <f t="shared" si="6"/>
        <v>0</v>
      </c>
      <c r="J117" s="528">
        <f t="shared" si="7"/>
        <v>0</v>
      </c>
      <c r="K117" s="649"/>
      <c r="L117" s="649"/>
      <c r="M117" s="151"/>
      <c r="N117" s="528">
        <f t="shared" si="8"/>
        <v>0</v>
      </c>
    </row>
    <row r="118" spans="1:14" x14ac:dyDescent="0.25">
      <c r="A118" s="923">
        <v>105</v>
      </c>
      <c r="B118" s="410" t="s">
        <v>223</v>
      </c>
      <c r="C118" s="411" t="s">
        <v>224</v>
      </c>
      <c r="D118" s="531"/>
      <c r="E118" s="151"/>
      <c r="F118" s="151"/>
      <c r="G118" s="151"/>
      <c r="H118" s="152">
        <f t="shared" si="6"/>
        <v>0</v>
      </c>
      <c r="I118" s="152">
        <f t="shared" si="6"/>
        <v>0</v>
      </c>
      <c r="J118" s="528">
        <f t="shared" si="7"/>
        <v>0</v>
      </c>
      <c r="K118" s="649"/>
      <c r="L118" s="649"/>
      <c r="M118" s="151"/>
      <c r="N118" s="528">
        <f t="shared" si="8"/>
        <v>0</v>
      </c>
    </row>
    <row r="119" spans="1:14" x14ac:dyDescent="0.25">
      <c r="A119" s="923">
        <v>106</v>
      </c>
      <c r="B119" s="701" t="s">
        <v>225</v>
      </c>
      <c r="C119" s="412" t="s">
        <v>226</v>
      </c>
      <c r="D119" s="531"/>
      <c r="E119" s="151"/>
      <c r="F119" s="151"/>
      <c r="G119" s="151"/>
      <c r="H119" s="152">
        <f t="shared" si="6"/>
        <v>0</v>
      </c>
      <c r="I119" s="152">
        <f t="shared" si="6"/>
        <v>0</v>
      </c>
      <c r="J119" s="528">
        <f t="shared" si="7"/>
        <v>0</v>
      </c>
      <c r="K119" s="649"/>
      <c r="L119" s="649"/>
      <c r="M119" s="151"/>
      <c r="N119" s="528">
        <f t="shared" si="8"/>
        <v>0</v>
      </c>
    </row>
    <row r="120" spans="1:14" ht="24" x14ac:dyDescent="0.25">
      <c r="A120" s="923">
        <v>107</v>
      </c>
      <c r="B120" s="408" t="s">
        <v>227</v>
      </c>
      <c r="C120" s="409" t="s">
        <v>228</v>
      </c>
      <c r="D120" s="531"/>
      <c r="E120" s="151"/>
      <c r="F120" s="151"/>
      <c r="G120" s="151"/>
      <c r="H120" s="152">
        <f t="shared" si="6"/>
        <v>0</v>
      </c>
      <c r="I120" s="152">
        <f t="shared" si="6"/>
        <v>0</v>
      </c>
      <c r="J120" s="528">
        <f t="shared" si="7"/>
        <v>0</v>
      </c>
      <c r="K120" s="649"/>
      <c r="L120" s="649"/>
      <c r="M120" s="151"/>
      <c r="N120" s="528">
        <f t="shared" si="8"/>
        <v>0</v>
      </c>
    </row>
    <row r="121" spans="1:14" x14ac:dyDescent="0.25">
      <c r="A121" s="923">
        <v>108</v>
      </c>
      <c r="B121" s="408" t="s">
        <v>229</v>
      </c>
      <c r="C121" s="409" t="s">
        <v>230</v>
      </c>
      <c r="D121" s="531"/>
      <c r="E121" s="151"/>
      <c r="F121" s="151"/>
      <c r="G121" s="151"/>
      <c r="H121" s="152">
        <f t="shared" si="6"/>
        <v>0</v>
      </c>
      <c r="I121" s="152">
        <f t="shared" si="6"/>
        <v>0</v>
      </c>
      <c r="J121" s="528">
        <f t="shared" si="7"/>
        <v>0</v>
      </c>
      <c r="K121" s="649"/>
      <c r="L121" s="649"/>
      <c r="M121" s="151"/>
      <c r="N121" s="528">
        <f t="shared" si="8"/>
        <v>0</v>
      </c>
    </row>
    <row r="122" spans="1:14" x14ac:dyDescent="0.25">
      <c r="A122" s="923">
        <v>109</v>
      </c>
      <c r="B122" s="410" t="s">
        <v>231</v>
      </c>
      <c r="C122" s="411" t="s">
        <v>232</v>
      </c>
      <c r="D122" s="531"/>
      <c r="E122" s="151"/>
      <c r="F122" s="151"/>
      <c r="G122" s="151"/>
      <c r="H122" s="152">
        <f t="shared" si="6"/>
        <v>0</v>
      </c>
      <c r="I122" s="152">
        <f t="shared" si="6"/>
        <v>0</v>
      </c>
      <c r="J122" s="528">
        <f t="shared" si="7"/>
        <v>0</v>
      </c>
      <c r="K122" s="649"/>
      <c r="L122" s="649"/>
      <c r="M122" s="151"/>
      <c r="N122" s="528">
        <f t="shared" si="8"/>
        <v>0</v>
      </c>
    </row>
    <row r="123" spans="1:14" x14ac:dyDescent="0.25">
      <c r="A123" s="923">
        <v>110</v>
      </c>
      <c r="B123" s="410" t="s">
        <v>233</v>
      </c>
      <c r="C123" s="411" t="s">
        <v>234</v>
      </c>
      <c r="D123" s="531"/>
      <c r="E123" s="151"/>
      <c r="F123" s="151"/>
      <c r="G123" s="151"/>
      <c r="H123" s="152">
        <f t="shared" si="6"/>
        <v>0</v>
      </c>
      <c r="I123" s="152">
        <f t="shared" si="6"/>
        <v>0</v>
      </c>
      <c r="J123" s="528">
        <f t="shared" si="7"/>
        <v>0</v>
      </c>
      <c r="K123" s="649"/>
      <c r="L123" s="649"/>
      <c r="M123" s="151"/>
      <c r="N123" s="528">
        <f t="shared" si="8"/>
        <v>0</v>
      </c>
    </row>
    <row r="124" spans="1:14" x14ac:dyDescent="0.25">
      <c r="A124" s="923">
        <v>111</v>
      </c>
      <c r="B124" s="3" t="s">
        <v>235</v>
      </c>
      <c r="C124" s="409" t="s">
        <v>236</v>
      </c>
      <c r="D124" s="531"/>
      <c r="E124" s="151"/>
      <c r="F124" s="151"/>
      <c r="G124" s="151"/>
      <c r="H124" s="152">
        <f t="shared" si="6"/>
        <v>0</v>
      </c>
      <c r="I124" s="152">
        <f t="shared" si="6"/>
        <v>0</v>
      </c>
      <c r="J124" s="528">
        <f t="shared" si="7"/>
        <v>0</v>
      </c>
      <c r="K124" s="649"/>
      <c r="L124" s="649"/>
      <c r="M124" s="151"/>
      <c r="N124" s="528">
        <f t="shared" si="8"/>
        <v>0</v>
      </c>
    </row>
    <row r="125" spans="1:14" x14ac:dyDescent="0.25">
      <c r="A125" s="923">
        <v>112</v>
      </c>
      <c r="B125" s="408" t="s">
        <v>237</v>
      </c>
      <c r="C125" s="409" t="s">
        <v>238</v>
      </c>
      <c r="D125" s="531"/>
      <c r="E125" s="151"/>
      <c r="F125" s="151"/>
      <c r="G125" s="151"/>
      <c r="H125" s="152">
        <f t="shared" si="6"/>
        <v>0</v>
      </c>
      <c r="I125" s="152">
        <f t="shared" si="6"/>
        <v>0</v>
      </c>
      <c r="J125" s="528">
        <f t="shared" si="7"/>
        <v>0</v>
      </c>
      <c r="K125" s="649"/>
      <c r="L125" s="649"/>
      <c r="M125" s="151"/>
      <c r="N125" s="528">
        <f t="shared" si="8"/>
        <v>0</v>
      </c>
    </row>
    <row r="126" spans="1:14" x14ac:dyDescent="0.25">
      <c r="A126" s="923">
        <v>113</v>
      </c>
      <c r="B126" s="408" t="s">
        <v>239</v>
      </c>
      <c r="C126" s="411" t="s">
        <v>240</v>
      </c>
      <c r="D126" s="531"/>
      <c r="E126" s="151"/>
      <c r="F126" s="151"/>
      <c r="G126" s="151"/>
      <c r="H126" s="152">
        <f t="shared" si="6"/>
        <v>0</v>
      </c>
      <c r="I126" s="152">
        <f t="shared" si="6"/>
        <v>0</v>
      </c>
      <c r="J126" s="528">
        <f t="shared" si="7"/>
        <v>0</v>
      </c>
      <c r="K126" s="649"/>
      <c r="L126" s="649"/>
      <c r="M126" s="151"/>
      <c r="N126" s="528">
        <f t="shared" si="8"/>
        <v>0</v>
      </c>
    </row>
    <row r="127" spans="1:14" ht="13.5" customHeight="1" x14ac:dyDescent="0.25">
      <c r="A127" s="923">
        <v>114</v>
      </c>
      <c r="B127" s="408" t="s">
        <v>241</v>
      </c>
      <c r="C127" s="409" t="s">
        <v>242</v>
      </c>
      <c r="D127" s="531"/>
      <c r="E127" s="151"/>
      <c r="F127" s="151"/>
      <c r="G127" s="151"/>
      <c r="H127" s="152">
        <f t="shared" si="6"/>
        <v>0</v>
      </c>
      <c r="I127" s="152">
        <f t="shared" si="6"/>
        <v>0</v>
      </c>
      <c r="J127" s="528">
        <f t="shared" si="7"/>
        <v>0</v>
      </c>
      <c r="K127" s="649"/>
      <c r="L127" s="649"/>
      <c r="M127" s="151"/>
      <c r="N127" s="528">
        <f t="shared" si="8"/>
        <v>0</v>
      </c>
    </row>
    <row r="128" spans="1:14" x14ac:dyDescent="0.25">
      <c r="A128" s="923">
        <v>115</v>
      </c>
      <c r="B128" s="924" t="s">
        <v>243</v>
      </c>
      <c r="C128" s="418" t="s">
        <v>385</v>
      </c>
      <c r="D128" s="531"/>
      <c r="E128" s="151"/>
      <c r="F128" s="151"/>
      <c r="G128" s="151"/>
      <c r="H128" s="152">
        <f t="shared" si="6"/>
        <v>0</v>
      </c>
      <c r="I128" s="152">
        <f t="shared" si="6"/>
        <v>0</v>
      </c>
      <c r="J128" s="528">
        <f t="shared" si="7"/>
        <v>0</v>
      </c>
      <c r="K128" s="649"/>
      <c r="L128" s="649"/>
      <c r="M128" s="151"/>
      <c r="N128" s="528">
        <f t="shared" si="8"/>
        <v>0</v>
      </c>
    </row>
    <row r="129" spans="1:14" x14ac:dyDescent="0.25">
      <c r="A129" s="923">
        <v>116</v>
      </c>
      <c r="B129" s="410" t="s">
        <v>244</v>
      </c>
      <c r="C129" s="411" t="s">
        <v>654</v>
      </c>
      <c r="D129" s="531"/>
      <c r="E129" s="151"/>
      <c r="F129" s="151"/>
      <c r="G129" s="151"/>
      <c r="H129" s="152">
        <f t="shared" si="6"/>
        <v>0</v>
      </c>
      <c r="I129" s="152">
        <f t="shared" si="6"/>
        <v>0</v>
      </c>
      <c r="J129" s="528">
        <f t="shared" si="7"/>
        <v>0</v>
      </c>
      <c r="K129" s="649"/>
      <c r="L129" s="649"/>
      <c r="M129" s="151"/>
      <c r="N129" s="528">
        <f t="shared" si="8"/>
        <v>0</v>
      </c>
    </row>
    <row r="130" spans="1:14" x14ac:dyDescent="0.25">
      <c r="A130" s="923">
        <v>117</v>
      </c>
      <c r="B130" s="410" t="s">
        <v>246</v>
      </c>
      <c r="C130" s="411" t="s">
        <v>247</v>
      </c>
      <c r="D130" s="531"/>
      <c r="E130" s="151"/>
      <c r="F130" s="151"/>
      <c r="G130" s="151"/>
      <c r="H130" s="152">
        <f t="shared" si="6"/>
        <v>0</v>
      </c>
      <c r="I130" s="152">
        <f t="shared" si="6"/>
        <v>0</v>
      </c>
      <c r="J130" s="528">
        <f t="shared" si="7"/>
        <v>0</v>
      </c>
      <c r="K130" s="649"/>
      <c r="L130" s="649"/>
      <c r="M130" s="151"/>
      <c r="N130" s="528">
        <f t="shared" si="8"/>
        <v>0</v>
      </c>
    </row>
    <row r="131" spans="1:14" x14ac:dyDescent="0.25">
      <c r="A131" s="923">
        <v>118</v>
      </c>
      <c r="B131" s="410" t="s">
        <v>248</v>
      </c>
      <c r="C131" s="411" t="s">
        <v>249</v>
      </c>
      <c r="D131" s="531"/>
      <c r="E131" s="151"/>
      <c r="F131" s="151"/>
      <c r="G131" s="151"/>
      <c r="H131" s="152">
        <f t="shared" si="6"/>
        <v>0</v>
      </c>
      <c r="I131" s="152">
        <f t="shared" si="6"/>
        <v>0</v>
      </c>
      <c r="J131" s="528">
        <f t="shared" si="7"/>
        <v>0</v>
      </c>
      <c r="K131" s="649"/>
      <c r="L131" s="649"/>
      <c r="M131" s="151"/>
      <c r="N131" s="528">
        <f t="shared" si="8"/>
        <v>0</v>
      </c>
    </row>
    <row r="132" spans="1:14" x14ac:dyDescent="0.25">
      <c r="A132" s="923">
        <v>119</v>
      </c>
      <c r="B132" s="410" t="s">
        <v>250</v>
      </c>
      <c r="C132" s="411" t="s">
        <v>251</v>
      </c>
      <c r="D132" s="531"/>
      <c r="E132" s="151"/>
      <c r="F132" s="151"/>
      <c r="G132" s="151"/>
      <c r="H132" s="152">
        <f t="shared" si="6"/>
        <v>0</v>
      </c>
      <c r="I132" s="152">
        <f t="shared" si="6"/>
        <v>0</v>
      </c>
      <c r="J132" s="528">
        <f t="shared" si="7"/>
        <v>0</v>
      </c>
      <c r="K132" s="649"/>
      <c r="L132" s="649"/>
      <c r="M132" s="151"/>
      <c r="N132" s="528">
        <f t="shared" si="8"/>
        <v>0</v>
      </c>
    </row>
    <row r="133" spans="1:14" x14ac:dyDescent="0.25">
      <c r="A133" s="923">
        <v>120</v>
      </c>
      <c r="B133" s="151" t="s">
        <v>252</v>
      </c>
      <c r="C133" s="422" t="s">
        <v>253</v>
      </c>
      <c r="D133" s="531"/>
      <c r="E133" s="151"/>
      <c r="F133" s="151"/>
      <c r="G133" s="151"/>
      <c r="H133" s="152">
        <f t="shared" si="6"/>
        <v>0</v>
      </c>
      <c r="I133" s="152">
        <f t="shared" si="6"/>
        <v>0</v>
      </c>
      <c r="J133" s="528">
        <f t="shared" si="7"/>
        <v>0</v>
      </c>
      <c r="K133" s="649"/>
      <c r="L133" s="649"/>
      <c r="M133" s="151"/>
      <c r="N133" s="528">
        <f t="shared" si="8"/>
        <v>0</v>
      </c>
    </row>
    <row r="134" spans="1:14" x14ac:dyDescent="0.25">
      <c r="A134" s="923">
        <v>121</v>
      </c>
      <c r="B134" s="408" t="s">
        <v>254</v>
      </c>
      <c r="C134" s="409" t="s">
        <v>255</v>
      </c>
      <c r="D134" s="531"/>
      <c r="E134" s="151"/>
      <c r="F134" s="151"/>
      <c r="G134" s="151"/>
      <c r="H134" s="152">
        <f t="shared" si="6"/>
        <v>0</v>
      </c>
      <c r="I134" s="152">
        <f t="shared" si="6"/>
        <v>0</v>
      </c>
      <c r="J134" s="528">
        <f t="shared" si="7"/>
        <v>0</v>
      </c>
      <c r="K134" s="649"/>
      <c r="L134" s="649"/>
      <c r="M134" s="151"/>
      <c r="N134" s="528">
        <f t="shared" si="8"/>
        <v>0</v>
      </c>
    </row>
    <row r="135" spans="1:14" x14ac:dyDescent="0.25">
      <c r="A135" s="923">
        <v>122</v>
      </c>
      <c r="B135" s="410" t="s">
        <v>256</v>
      </c>
      <c r="C135" s="411" t="s">
        <v>257</v>
      </c>
      <c r="D135" s="531"/>
      <c r="E135" s="151"/>
      <c r="F135" s="151"/>
      <c r="G135" s="151"/>
      <c r="H135" s="152">
        <f t="shared" si="6"/>
        <v>0</v>
      </c>
      <c r="I135" s="152">
        <f t="shared" si="6"/>
        <v>0</v>
      </c>
      <c r="J135" s="528">
        <f t="shared" si="7"/>
        <v>0</v>
      </c>
      <c r="K135" s="649"/>
      <c r="L135" s="649"/>
      <c r="M135" s="151"/>
      <c r="N135" s="528">
        <f t="shared" si="8"/>
        <v>0</v>
      </c>
    </row>
    <row r="136" spans="1:14" x14ac:dyDescent="0.25">
      <c r="A136" s="923">
        <v>123</v>
      </c>
      <c r="B136" s="408" t="s">
        <v>258</v>
      </c>
      <c r="C136" s="411" t="s">
        <v>259</v>
      </c>
      <c r="D136" s="531"/>
      <c r="E136" s="151"/>
      <c r="F136" s="151"/>
      <c r="G136" s="151"/>
      <c r="H136" s="152">
        <f t="shared" si="6"/>
        <v>0</v>
      </c>
      <c r="I136" s="152">
        <f t="shared" si="6"/>
        <v>0</v>
      </c>
      <c r="J136" s="528">
        <f t="shared" si="7"/>
        <v>0</v>
      </c>
      <c r="K136" s="649"/>
      <c r="L136" s="649"/>
      <c r="M136" s="151"/>
      <c r="N136" s="528">
        <f t="shared" si="8"/>
        <v>0</v>
      </c>
    </row>
    <row r="137" spans="1:14" x14ac:dyDescent="0.25">
      <c r="A137" s="923">
        <v>124</v>
      </c>
      <c r="B137" s="410" t="s">
        <v>260</v>
      </c>
      <c r="C137" s="411" t="s">
        <v>261</v>
      </c>
      <c r="D137" s="531">
        <f>0+604</f>
        <v>604</v>
      </c>
      <c r="E137" s="151">
        <f>0+300</f>
        <v>300</v>
      </c>
      <c r="F137" s="151">
        <f>0+2229</f>
        <v>2229</v>
      </c>
      <c r="G137" s="151">
        <f>0+1100</f>
        <v>1100</v>
      </c>
      <c r="H137" s="152">
        <f t="shared" si="6"/>
        <v>2833</v>
      </c>
      <c r="I137" s="152">
        <f t="shared" si="6"/>
        <v>1400</v>
      </c>
      <c r="J137" s="528">
        <f t="shared" si="7"/>
        <v>4233</v>
      </c>
      <c r="K137" s="649">
        <v>1100</v>
      </c>
      <c r="L137" s="649">
        <f>2200+4749</f>
        <v>6949</v>
      </c>
      <c r="M137" s="151">
        <v>3300</v>
      </c>
      <c r="N137" s="528">
        <f t="shared" si="8"/>
        <v>11349</v>
      </c>
    </row>
    <row r="138" spans="1:14" x14ac:dyDescent="0.25">
      <c r="A138" s="923">
        <v>125</v>
      </c>
      <c r="B138" s="410" t="s">
        <v>262</v>
      </c>
      <c r="C138" s="411" t="s">
        <v>263</v>
      </c>
      <c r="D138" s="531"/>
      <c r="E138" s="151"/>
      <c r="F138" s="151"/>
      <c r="G138" s="151"/>
      <c r="H138" s="152">
        <f t="shared" si="6"/>
        <v>0</v>
      </c>
      <c r="I138" s="152">
        <f t="shared" si="6"/>
        <v>0</v>
      </c>
      <c r="J138" s="528">
        <f t="shared" si="7"/>
        <v>0</v>
      </c>
      <c r="K138" s="649"/>
      <c r="L138" s="649"/>
      <c r="M138" s="151"/>
      <c r="N138" s="528">
        <f t="shared" si="8"/>
        <v>0</v>
      </c>
    </row>
    <row r="139" spans="1:14" x14ac:dyDescent="0.25">
      <c r="A139" s="923">
        <v>126</v>
      </c>
      <c r="B139" s="408" t="s">
        <v>264</v>
      </c>
      <c r="C139" s="411" t="s">
        <v>265</v>
      </c>
      <c r="D139" s="531"/>
      <c r="E139" s="151">
        <v>173</v>
      </c>
      <c r="F139" s="151"/>
      <c r="G139" s="151">
        <v>172</v>
      </c>
      <c r="H139" s="152">
        <f t="shared" si="6"/>
        <v>0</v>
      </c>
      <c r="I139" s="152">
        <f t="shared" si="6"/>
        <v>345</v>
      </c>
      <c r="J139" s="528">
        <f t="shared" si="7"/>
        <v>345</v>
      </c>
      <c r="K139" s="649">
        <v>165</v>
      </c>
      <c r="L139" s="649">
        <v>330</v>
      </c>
      <c r="M139" s="151">
        <v>495</v>
      </c>
      <c r="N139" s="528">
        <f t="shared" si="8"/>
        <v>990</v>
      </c>
    </row>
    <row r="140" spans="1:14" x14ac:dyDescent="0.25">
      <c r="A140" s="923">
        <v>127</v>
      </c>
      <c r="B140" s="410" t="s">
        <v>266</v>
      </c>
      <c r="C140" s="411" t="s">
        <v>267</v>
      </c>
      <c r="D140" s="531"/>
      <c r="E140" s="151"/>
      <c r="F140" s="151"/>
      <c r="G140" s="151"/>
      <c r="H140" s="152">
        <f t="shared" ref="H140:I154" si="9">D140+F140</f>
        <v>0</v>
      </c>
      <c r="I140" s="152">
        <f t="shared" si="9"/>
        <v>0</v>
      </c>
      <c r="J140" s="528">
        <f t="shared" ref="J140:J154" si="10">H140+I140</f>
        <v>0</v>
      </c>
      <c r="K140" s="649"/>
      <c r="L140" s="649"/>
      <c r="M140" s="151"/>
      <c r="N140" s="528">
        <f t="shared" ref="N140:N154" si="11">K140+L140+M140</f>
        <v>0</v>
      </c>
    </row>
    <row r="141" spans="1:14" x14ac:dyDescent="0.25">
      <c r="A141" s="923">
        <v>128</v>
      </c>
      <c r="B141" s="408" t="s">
        <v>268</v>
      </c>
      <c r="C141" s="409" t="s">
        <v>269</v>
      </c>
      <c r="D141" s="531"/>
      <c r="E141" s="151"/>
      <c r="F141" s="151"/>
      <c r="G141" s="151"/>
      <c r="H141" s="152">
        <f t="shared" si="9"/>
        <v>0</v>
      </c>
      <c r="I141" s="152">
        <f t="shared" si="9"/>
        <v>0</v>
      </c>
      <c r="J141" s="528">
        <f t="shared" si="10"/>
        <v>0</v>
      </c>
      <c r="K141" s="649"/>
      <c r="L141" s="649"/>
      <c r="M141" s="151"/>
      <c r="N141" s="528">
        <f t="shared" si="11"/>
        <v>0</v>
      </c>
    </row>
    <row r="142" spans="1:14" x14ac:dyDescent="0.25">
      <c r="A142" s="923">
        <v>129</v>
      </c>
      <c r="B142" s="408" t="s">
        <v>270</v>
      </c>
      <c r="C142" s="409" t="s">
        <v>271</v>
      </c>
      <c r="D142" s="531"/>
      <c r="E142" s="151"/>
      <c r="F142" s="151"/>
      <c r="G142" s="151"/>
      <c r="H142" s="152">
        <f t="shared" si="9"/>
        <v>0</v>
      </c>
      <c r="I142" s="152">
        <f t="shared" si="9"/>
        <v>0</v>
      </c>
      <c r="J142" s="528">
        <f t="shared" si="10"/>
        <v>0</v>
      </c>
      <c r="K142" s="649"/>
      <c r="L142" s="649"/>
      <c r="M142" s="151"/>
      <c r="N142" s="528">
        <f t="shared" si="11"/>
        <v>0</v>
      </c>
    </row>
    <row r="143" spans="1:14" x14ac:dyDescent="0.25">
      <c r="A143" s="923">
        <v>130</v>
      </c>
      <c r="B143" s="410" t="s">
        <v>272</v>
      </c>
      <c r="C143" s="411" t="s">
        <v>273</v>
      </c>
      <c r="D143" s="531"/>
      <c r="E143" s="151"/>
      <c r="F143" s="151"/>
      <c r="G143" s="151"/>
      <c r="H143" s="152">
        <f t="shared" si="9"/>
        <v>0</v>
      </c>
      <c r="I143" s="152">
        <f t="shared" si="9"/>
        <v>0</v>
      </c>
      <c r="J143" s="528">
        <f t="shared" si="10"/>
        <v>0</v>
      </c>
      <c r="K143" s="649"/>
      <c r="L143" s="649"/>
      <c r="M143" s="151"/>
      <c r="N143" s="528">
        <f t="shared" si="11"/>
        <v>0</v>
      </c>
    </row>
    <row r="144" spans="1:14" x14ac:dyDescent="0.25">
      <c r="A144" s="923">
        <v>131</v>
      </c>
      <c r="B144" s="410" t="s">
        <v>274</v>
      </c>
      <c r="C144" s="411" t="s">
        <v>275</v>
      </c>
      <c r="D144" s="531">
        <v>1336</v>
      </c>
      <c r="E144" s="151"/>
      <c r="F144" s="151">
        <v>1335</v>
      </c>
      <c r="G144" s="151"/>
      <c r="H144" s="152">
        <f t="shared" si="9"/>
        <v>2671</v>
      </c>
      <c r="I144" s="152">
        <f t="shared" si="9"/>
        <v>0</v>
      </c>
      <c r="J144" s="528">
        <f t="shared" si="10"/>
        <v>2671</v>
      </c>
      <c r="K144" s="649">
        <v>3850</v>
      </c>
      <c r="L144" s="649">
        <v>7700</v>
      </c>
      <c r="M144" s="151">
        <v>9570</v>
      </c>
      <c r="N144" s="528">
        <f t="shared" si="11"/>
        <v>21120</v>
      </c>
    </row>
    <row r="145" spans="1:14" x14ac:dyDescent="0.25">
      <c r="A145" s="923">
        <v>132</v>
      </c>
      <c r="B145" s="410" t="s">
        <v>276</v>
      </c>
      <c r="C145" s="411" t="s">
        <v>277</v>
      </c>
      <c r="D145" s="531">
        <f>1524-36</f>
        <v>1488</v>
      </c>
      <c r="E145" s="151"/>
      <c r="F145" s="151">
        <f>1523-134</f>
        <v>1389</v>
      </c>
      <c r="G145" s="151"/>
      <c r="H145" s="152">
        <f t="shared" si="9"/>
        <v>2877</v>
      </c>
      <c r="I145" s="152">
        <f t="shared" si="9"/>
        <v>0</v>
      </c>
      <c r="J145" s="528">
        <f t="shared" si="10"/>
        <v>2877</v>
      </c>
      <c r="K145" s="649"/>
      <c r="L145" s="649"/>
      <c r="M145" s="151"/>
      <c r="N145" s="528">
        <f t="shared" si="11"/>
        <v>0</v>
      </c>
    </row>
    <row r="146" spans="1:14" x14ac:dyDescent="0.25">
      <c r="A146" s="923">
        <v>133</v>
      </c>
      <c r="B146" s="410" t="s">
        <v>278</v>
      </c>
      <c r="C146" s="411" t="s">
        <v>279</v>
      </c>
      <c r="D146" s="531">
        <f>1793-70</f>
        <v>1723</v>
      </c>
      <c r="E146" s="151">
        <v>355</v>
      </c>
      <c r="F146" s="151">
        <f>1792-258</f>
        <v>1534</v>
      </c>
      <c r="G146" s="151"/>
      <c r="H146" s="152">
        <f t="shared" si="9"/>
        <v>3257</v>
      </c>
      <c r="I146" s="152">
        <f t="shared" si="9"/>
        <v>355</v>
      </c>
      <c r="J146" s="528">
        <f t="shared" si="10"/>
        <v>3612</v>
      </c>
      <c r="K146" s="649">
        <f>550+10</f>
        <v>560</v>
      </c>
      <c r="L146" s="649">
        <v>0</v>
      </c>
      <c r="M146" s="151">
        <v>0</v>
      </c>
      <c r="N146" s="528">
        <f t="shared" si="11"/>
        <v>560</v>
      </c>
    </row>
    <row r="147" spans="1:14" x14ac:dyDescent="0.25">
      <c r="A147" s="923">
        <v>134</v>
      </c>
      <c r="B147" s="410" t="s">
        <v>280</v>
      </c>
      <c r="C147" s="411" t="s">
        <v>281</v>
      </c>
      <c r="D147" s="531"/>
      <c r="E147" s="151"/>
      <c r="F147" s="151"/>
      <c r="G147" s="151"/>
      <c r="H147" s="152">
        <f t="shared" si="9"/>
        <v>0</v>
      </c>
      <c r="I147" s="152">
        <f t="shared" si="9"/>
        <v>0</v>
      </c>
      <c r="J147" s="528">
        <f t="shared" si="10"/>
        <v>0</v>
      </c>
      <c r="K147" s="649"/>
      <c r="L147" s="649"/>
      <c r="M147" s="151"/>
      <c r="N147" s="528">
        <f t="shared" si="11"/>
        <v>0</v>
      </c>
    </row>
    <row r="148" spans="1:14" x14ac:dyDescent="0.25">
      <c r="A148" s="923">
        <v>135</v>
      </c>
      <c r="B148" s="408" t="s">
        <v>282</v>
      </c>
      <c r="C148" s="409" t="s">
        <v>283</v>
      </c>
      <c r="D148" s="531"/>
      <c r="E148" s="151"/>
      <c r="F148" s="151"/>
      <c r="G148" s="151"/>
      <c r="H148" s="152">
        <f t="shared" si="9"/>
        <v>0</v>
      </c>
      <c r="I148" s="152">
        <f t="shared" si="9"/>
        <v>0</v>
      </c>
      <c r="J148" s="528">
        <f t="shared" si="10"/>
        <v>0</v>
      </c>
      <c r="K148" s="649"/>
      <c r="L148" s="649"/>
      <c r="M148" s="151"/>
      <c r="N148" s="528">
        <f t="shared" si="11"/>
        <v>0</v>
      </c>
    </row>
    <row r="149" spans="1:14" x14ac:dyDescent="0.25">
      <c r="A149" s="923">
        <v>136</v>
      </c>
      <c r="B149" s="423" t="s">
        <v>284</v>
      </c>
      <c r="C149" s="424" t="s">
        <v>285</v>
      </c>
      <c r="D149" s="531"/>
      <c r="E149" s="151"/>
      <c r="F149" s="151"/>
      <c r="G149" s="151"/>
      <c r="H149" s="152">
        <f t="shared" si="9"/>
        <v>0</v>
      </c>
      <c r="I149" s="152">
        <f t="shared" si="9"/>
        <v>0</v>
      </c>
      <c r="J149" s="528">
        <f t="shared" si="10"/>
        <v>0</v>
      </c>
      <c r="K149" s="649"/>
      <c r="L149" s="649"/>
      <c r="M149" s="151"/>
      <c r="N149" s="528">
        <f t="shared" si="11"/>
        <v>0</v>
      </c>
    </row>
    <row r="150" spans="1:14" x14ac:dyDescent="0.25">
      <c r="A150" s="923">
        <v>137</v>
      </c>
      <c r="B150" s="425" t="s">
        <v>387</v>
      </c>
      <c r="C150" s="417" t="s">
        <v>388</v>
      </c>
      <c r="D150" s="531"/>
      <c r="E150" s="151"/>
      <c r="F150" s="151"/>
      <c r="G150" s="151"/>
      <c r="H150" s="152">
        <f t="shared" si="9"/>
        <v>0</v>
      </c>
      <c r="I150" s="152">
        <f t="shared" si="9"/>
        <v>0</v>
      </c>
      <c r="J150" s="528">
        <f t="shared" si="10"/>
        <v>0</v>
      </c>
      <c r="K150" s="649"/>
      <c r="L150" s="649"/>
      <c r="M150" s="151"/>
      <c r="N150" s="528">
        <f t="shared" si="11"/>
        <v>0</v>
      </c>
    </row>
    <row r="151" spans="1:14" x14ac:dyDescent="0.25">
      <c r="A151" s="923">
        <v>138</v>
      </c>
      <c r="B151" s="426" t="s">
        <v>389</v>
      </c>
      <c r="C151" s="427" t="s">
        <v>390</v>
      </c>
      <c r="D151" s="531"/>
      <c r="E151" s="151"/>
      <c r="F151" s="151"/>
      <c r="G151" s="151"/>
      <c r="H151" s="152">
        <f t="shared" si="9"/>
        <v>0</v>
      </c>
      <c r="I151" s="152">
        <f t="shared" si="9"/>
        <v>0</v>
      </c>
      <c r="J151" s="528">
        <f t="shared" si="10"/>
        <v>0</v>
      </c>
      <c r="K151" s="649"/>
      <c r="L151" s="649"/>
      <c r="M151" s="151"/>
      <c r="N151" s="528">
        <f t="shared" si="11"/>
        <v>0</v>
      </c>
    </row>
    <row r="152" spans="1:14" x14ac:dyDescent="0.25">
      <c r="A152" s="923">
        <v>139</v>
      </c>
      <c r="B152" s="428" t="s">
        <v>391</v>
      </c>
      <c r="C152" s="429" t="s">
        <v>392</v>
      </c>
      <c r="D152" s="531"/>
      <c r="E152" s="151"/>
      <c r="F152" s="151"/>
      <c r="G152" s="151"/>
      <c r="H152" s="152">
        <f t="shared" si="9"/>
        <v>0</v>
      </c>
      <c r="I152" s="152">
        <f t="shared" si="9"/>
        <v>0</v>
      </c>
      <c r="J152" s="528">
        <f t="shared" si="10"/>
        <v>0</v>
      </c>
      <c r="K152" s="649"/>
      <c r="L152" s="649">
        <v>660</v>
      </c>
      <c r="M152" s="151">
        <v>990</v>
      </c>
      <c r="N152" s="528">
        <f t="shared" si="11"/>
        <v>1650</v>
      </c>
    </row>
    <row r="153" spans="1:14" x14ac:dyDescent="0.25">
      <c r="A153" s="923">
        <v>140</v>
      </c>
      <c r="B153" s="925" t="s">
        <v>393</v>
      </c>
      <c r="C153" s="926" t="s">
        <v>394</v>
      </c>
      <c r="D153" s="531"/>
      <c r="E153" s="151"/>
      <c r="F153" s="151"/>
      <c r="G153" s="151"/>
      <c r="H153" s="152">
        <f t="shared" si="9"/>
        <v>0</v>
      </c>
      <c r="I153" s="152">
        <f t="shared" si="9"/>
        <v>0</v>
      </c>
      <c r="J153" s="528">
        <f t="shared" si="10"/>
        <v>0</v>
      </c>
      <c r="K153" s="649"/>
      <c r="L153" s="151"/>
      <c r="M153" s="151"/>
      <c r="N153" s="528">
        <f t="shared" si="11"/>
        <v>0</v>
      </c>
    </row>
    <row r="154" spans="1:14" ht="12.75" thickBot="1" x14ac:dyDescent="0.3">
      <c r="A154" s="430">
        <v>141</v>
      </c>
      <c r="B154" s="928" t="s">
        <v>821</v>
      </c>
      <c r="C154" s="432" t="s">
        <v>820</v>
      </c>
      <c r="D154" s="533"/>
      <c r="E154" s="534">
        <f>0+260</f>
        <v>260</v>
      </c>
      <c r="F154" s="534"/>
      <c r="G154" s="534">
        <f>0+2877</f>
        <v>2877</v>
      </c>
      <c r="H154" s="535">
        <f t="shared" si="9"/>
        <v>0</v>
      </c>
      <c r="I154" s="535">
        <f t="shared" si="9"/>
        <v>3137</v>
      </c>
      <c r="J154" s="536">
        <f t="shared" si="10"/>
        <v>3137</v>
      </c>
      <c r="K154" s="537"/>
      <c r="L154" s="534"/>
      <c r="M154" s="534"/>
      <c r="N154" s="536">
        <f t="shared" si="11"/>
        <v>0</v>
      </c>
    </row>
    <row r="155" spans="1:14" x14ac:dyDescent="0.25">
      <c r="C155" s="927"/>
      <c r="H155" s="149"/>
      <c r="I155" s="149"/>
      <c r="J155" s="149"/>
      <c r="N155" s="149"/>
    </row>
    <row r="156" spans="1:14" x14ac:dyDescent="0.25">
      <c r="H156" s="149"/>
      <c r="I156" s="149"/>
      <c r="J156" s="149"/>
      <c r="N156" s="149"/>
    </row>
  </sheetData>
  <mergeCells count="16">
    <mergeCell ref="A1:N1"/>
    <mergeCell ref="K3:N3"/>
    <mergeCell ref="K5:N5"/>
    <mergeCell ref="A3:A5"/>
    <mergeCell ref="B3:B5"/>
    <mergeCell ref="C3:C5"/>
    <mergeCell ref="D3:J3"/>
    <mergeCell ref="D4:E4"/>
    <mergeCell ref="F4:G4"/>
    <mergeCell ref="H4:J4"/>
    <mergeCell ref="A7:C7"/>
    <mergeCell ref="A8:C8"/>
    <mergeCell ref="A9:C9"/>
    <mergeCell ref="A10:C10"/>
    <mergeCell ref="A93:A96"/>
    <mergeCell ref="B93:B96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54"/>
  <sheetViews>
    <sheetView zoomScale="90" zoomScaleNormal="90" workbookViewId="0">
      <pane xSplit="3" ySplit="7" topLeftCell="D120" activePane="bottomRight" state="frozen"/>
      <selection pane="topRight" activeCell="D1" sqref="D1"/>
      <selection pane="bottomLeft" activeCell="A8" sqref="A8"/>
      <selection pane="bottomRight" activeCell="L69" sqref="L69"/>
    </sheetView>
  </sheetViews>
  <sheetFormatPr defaultRowHeight="12" x14ac:dyDescent="0.25"/>
  <cols>
    <col min="1" max="1" width="4.7109375" style="532" customWidth="1"/>
    <col min="2" max="2" width="8" style="532" customWidth="1"/>
    <col min="3" max="3" width="30.140625" style="679" customWidth="1"/>
    <col min="4" max="5" width="14.7109375" style="154" customWidth="1"/>
    <col min="6" max="6" width="12.5703125" style="154" customWidth="1"/>
    <col min="7" max="7" width="11.28515625" style="532" customWidth="1"/>
    <col min="8" max="8" width="10.7109375" style="532" customWidth="1"/>
    <col min="9" max="9" width="11.140625" style="532" customWidth="1"/>
    <col min="10" max="16384" width="9.140625" style="532"/>
  </cols>
  <sheetData>
    <row r="1" spans="1:9" ht="15.75" x14ac:dyDescent="0.25">
      <c r="A1" s="1216" t="s">
        <v>628</v>
      </c>
      <c r="B1" s="1217"/>
      <c r="C1" s="1217"/>
      <c r="D1" s="1217"/>
      <c r="E1" s="1217"/>
      <c r="F1" s="1217"/>
      <c r="G1" s="1217"/>
      <c r="H1" s="1217"/>
      <c r="I1" s="1217"/>
    </row>
    <row r="2" spans="1:9" ht="12.75" thickBot="1" x14ac:dyDescent="0.3"/>
    <row r="3" spans="1:9" s="680" customFormat="1" ht="27" customHeight="1" x14ac:dyDescent="0.25">
      <c r="A3" s="1202" t="s">
        <v>0</v>
      </c>
      <c r="B3" s="1205" t="s">
        <v>603</v>
      </c>
      <c r="C3" s="1208" t="s">
        <v>292</v>
      </c>
      <c r="D3" s="1221" t="s">
        <v>814</v>
      </c>
      <c r="E3" s="1222"/>
      <c r="F3" s="1221" t="s">
        <v>623</v>
      </c>
      <c r="G3" s="1223"/>
      <c r="H3" s="1224" t="s">
        <v>624</v>
      </c>
      <c r="I3" s="1223"/>
    </row>
    <row r="4" spans="1:9" s="680" customFormat="1" ht="39.75" customHeight="1" thickBot="1" x14ac:dyDescent="0.3">
      <c r="A4" s="1218"/>
      <c r="B4" s="1219"/>
      <c r="C4" s="1220"/>
      <c r="D4" s="677" t="s">
        <v>289</v>
      </c>
      <c r="E4" s="678" t="s">
        <v>607</v>
      </c>
      <c r="F4" s="681" t="s">
        <v>625</v>
      </c>
      <c r="G4" s="682" t="s">
        <v>609</v>
      </c>
      <c r="H4" s="683" t="s">
        <v>610</v>
      </c>
      <c r="I4" s="682" t="s">
        <v>611</v>
      </c>
    </row>
    <row r="5" spans="1:9" s="686" customFormat="1" x14ac:dyDescent="0.25">
      <c r="A5" s="1225" t="s">
        <v>6</v>
      </c>
      <c r="B5" s="1226"/>
      <c r="C5" s="1227"/>
      <c r="D5" s="667">
        <f>SUM(D6:D8)</f>
        <v>50318</v>
      </c>
      <c r="E5" s="684">
        <f t="shared" ref="E5:I5" si="0">SUM(E6:E8)</f>
        <v>6273</v>
      </c>
      <c r="F5" s="667">
        <f t="shared" si="0"/>
        <v>4364</v>
      </c>
      <c r="G5" s="668">
        <f t="shared" si="0"/>
        <v>135036</v>
      </c>
      <c r="H5" s="685">
        <f t="shared" si="0"/>
        <v>4075</v>
      </c>
      <c r="I5" s="668">
        <f t="shared" si="0"/>
        <v>85560</v>
      </c>
    </row>
    <row r="6" spans="1:9" s="686" customFormat="1" x14ac:dyDescent="0.25">
      <c r="A6" s="1231" t="s">
        <v>14</v>
      </c>
      <c r="B6" s="1232"/>
      <c r="C6" s="1233"/>
      <c r="D6" s="406"/>
      <c r="E6" s="687"/>
      <c r="F6" s="706"/>
      <c r="G6" s="670"/>
      <c r="H6" s="688"/>
      <c r="I6" s="670"/>
    </row>
    <row r="7" spans="1:9" s="686" customFormat="1" x14ac:dyDescent="0.25">
      <c r="A7" s="1231" t="s">
        <v>445</v>
      </c>
      <c r="B7" s="1232"/>
      <c r="C7" s="1233"/>
      <c r="D7" s="406"/>
      <c r="E7" s="687"/>
      <c r="F7" s="706"/>
      <c r="G7" s="670"/>
      <c r="H7" s="688"/>
      <c r="I7" s="670"/>
    </row>
    <row r="8" spans="1:9" x14ac:dyDescent="0.25">
      <c r="A8" s="1231" t="s">
        <v>15</v>
      </c>
      <c r="B8" s="1232"/>
      <c r="C8" s="1233"/>
      <c r="D8" s="673">
        <f>SUM(D9:D151)</f>
        <v>50318</v>
      </c>
      <c r="E8" s="689">
        <f t="shared" ref="E8:I8" si="1">SUM(E9:E151)</f>
        <v>6273</v>
      </c>
      <c r="F8" s="673">
        <f t="shared" si="1"/>
        <v>4364</v>
      </c>
      <c r="G8" s="690">
        <f t="shared" si="1"/>
        <v>135036</v>
      </c>
      <c r="H8" s="691">
        <f t="shared" si="1"/>
        <v>4075</v>
      </c>
      <c r="I8" s="690">
        <f t="shared" si="1"/>
        <v>85560</v>
      </c>
    </row>
    <row r="9" spans="1:9" x14ac:dyDescent="0.25">
      <c r="A9" s="706">
        <v>1</v>
      </c>
      <c r="B9" s="701" t="s">
        <v>16</v>
      </c>
      <c r="C9" s="412" t="s">
        <v>17</v>
      </c>
      <c r="D9" s="406"/>
      <c r="E9" s="687"/>
      <c r="F9" s="406"/>
      <c r="G9" s="670"/>
      <c r="H9" s="688"/>
      <c r="I9" s="670"/>
    </row>
    <row r="10" spans="1:9" x14ac:dyDescent="0.25">
      <c r="A10" s="706">
        <v>2</v>
      </c>
      <c r="B10" s="701" t="s">
        <v>18</v>
      </c>
      <c r="C10" s="412" t="s">
        <v>19</v>
      </c>
      <c r="D10" s="406"/>
      <c r="E10" s="687"/>
      <c r="F10" s="406"/>
      <c r="G10" s="670"/>
      <c r="H10" s="688"/>
      <c r="I10" s="670"/>
    </row>
    <row r="11" spans="1:9" x14ac:dyDescent="0.25">
      <c r="A11" s="706">
        <v>3</v>
      </c>
      <c r="B11" s="425" t="s">
        <v>20</v>
      </c>
      <c r="C11" s="412" t="s">
        <v>21</v>
      </c>
      <c r="D11" s="406">
        <v>1460</v>
      </c>
      <c r="E11" s="687">
        <v>88</v>
      </c>
      <c r="F11" s="406"/>
      <c r="G11" s="670"/>
      <c r="H11" s="688">
        <v>221</v>
      </c>
      <c r="I11" s="670">
        <v>4650</v>
      </c>
    </row>
    <row r="12" spans="1:9" x14ac:dyDescent="0.25">
      <c r="A12" s="706">
        <v>4</v>
      </c>
      <c r="B12" s="701" t="s">
        <v>22</v>
      </c>
      <c r="C12" s="412" t="s">
        <v>23</v>
      </c>
      <c r="D12" s="406"/>
      <c r="E12" s="687"/>
      <c r="F12" s="406"/>
      <c r="G12" s="670"/>
      <c r="H12" s="688"/>
      <c r="I12" s="670"/>
    </row>
    <row r="13" spans="1:9" x14ac:dyDescent="0.25">
      <c r="A13" s="706">
        <v>5</v>
      </c>
      <c r="B13" s="701" t="s">
        <v>24</v>
      </c>
      <c r="C13" s="412" t="s">
        <v>25</v>
      </c>
      <c r="D13" s="406"/>
      <c r="E13" s="687"/>
      <c r="F13" s="406"/>
      <c r="G13" s="670"/>
      <c r="H13" s="688"/>
      <c r="I13" s="670"/>
    </row>
    <row r="14" spans="1:9" x14ac:dyDescent="0.25">
      <c r="A14" s="706">
        <v>6</v>
      </c>
      <c r="B14" s="425" t="s">
        <v>26</v>
      </c>
      <c r="C14" s="412" t="s">
        <v>27</v>
      </c>
      <c r="D14" s="406"/>
      <c r="E14" s="687"/>
      <c r="F14" s="406"/>
      <c r="G14" s="670"/>
      <c r="H14" s="688"/>
      <c r="I14" s="670"/>
    </row>
    <row r="15" spans="1:9" x14ac:dyDescent="0.25">
      <c r="A15" s="706">
        <v>7</v>
      </c>
      <c r="B15" s="701" t="s">
        <v>28</v>
      </c>
      <c r="C15" s="412" t="s">
        <v>29</v>
      </c>
      <c r="D15" s="406"/>
      <c r="E15" s="687"/>
      <c r="F15" s="406"/>
      <c r="G15" s="670"/>
      <c r="H15" s="688"/>
      <c r="I15" s="670"/>
    </row>
    <row r="16" spans="1:9" x14ac:dyDescent="0.25">
      <c r="A16" s="706">
        <v>8</v>
      </c>
      <c r="B16" s="425" t="s">
        <v>30</v>
      </c>
      <c r="C16" s="412" t="s">
        <v>31</v>
      </c>
      <c r="D16" s="406"/>
      <c r="E16" s="687"/>
      <c r="F16" s="406"/>
      <c r="G16" s="670"/>
      <c r="H16" s="688"/>
      <c r="I16" s="670"/>
    </row>
    <row r="17" spans="1:9" x14ac:dyDescent="0.25">
      <c r="A17" s="706">
        <v>9</v>
      </c>
      <c r="B17" s="425" t="s">
        <v>32</v>
      </c>
      <c r="C17" s="412" t="s">
        <v>33</v>
      </c>
      <c r="D17" s="406"/>
      <c r="E17" s="687"/>
      <c r="F17" s="406"/>
      <c r="G17" s="670"/>
      <c r="H17" s="688"/>
      <c r="I17" s="670"/>
    </row>
    <row r="18" spans="1:9" x14ac:dyDescent="0.25">
      <c r="A18" s="706">
        <v>10</v>
      </c>
      <c r="B18" s="425" t="s">
        <v>34</v>
      </c>
      <c r="C18" s="412" t="s">
        <v>35</v>
      </c>
      <c r="D18" s="406">
        <v>1460</v>
      </c>
      <c r="E18" s="687">
        <v>125</v>
      </c>
      <c r="F18" s="406">
        <v>330</v>
      </c>
      <c r="G18" s="670">
        <v>9900</v>
      </c>
      <c r="H18" s="688"/>
      <c r="I18" s="670"/>
    </row>
    <row r="19" spans="1:9" x14ac:dyDescent="0.25">
      <c r="A19" s="706">
        <v>11</v>
      </c>
      <c r="B19" s="425" t="s">
        <v>36</v>
      </c>
      <c r="C19" s="412" t="s">
        <v>37</v>
      </c>
      <c r="D19" s="406"/>
      <c r="E19" s="687"/>
      <c r="F19" s="406"/>
      <c r="G19" s="670"/>
      <c r="H19" s="688"/>
      <c r="I19" s="670"/>
    </row>
    <row r="20" spans="1:9" x14ac:dyDescent="0.25">
      <c r="A20" s="706">
        <v>12</v>
      </c>
      <c r="B20" s="425" t="s">
        <v>38</v>
      </c>
      <c r="C20" s="412" t="s">
        <v>39</v>
      </c>
      <c r="D20" s="406"/>
      <c r="E20" s="687"/>
      <c r="F20" s="406"/>
      <c r="G20" s="670"/>
      <c r="H20" s="688"/>
      <c r="I20" s="670"/>
    </row>
    <row r="21" spans="1:9" ht="12" customHeight="1" x14ac:dyDescent="0.25">
      <c r="A21" s="706">
        <v>13</v>
      </c>
      <c r="B21" s="707" t="s">
        <v>40</v>
      </c>
      <c r="C21" s="418" t="s">
        <v>41</v>
      </c>
      <c r="D21" s="406"/>
      <c r="E21" s="687"/>
      <c r="F21" s="406"/>
      <c r="G21" s="670"/>
      <c r="H21" s="688"/>
      <c r="I21" s="670"/>
    </row>
    <row r="22" spans="1:9" x14ac:dyDescent="0.25">
      <c r="A22" s="706">
        <v>14</v>
      </c>
      <c r="B22" s="447" t="s">
        <v>42</v>
      </c>
      <c r="C22" s="418" t="s">
        <v>43</v>
      </c>
      <c r="D22" s="406"/>
      <c r="E22" s="687"/>
      <c r="F22" s="406"/>
      <c r="G22" s="670"/>
      <c r="H22" s="688"/>
      <c r="I22" s="670"/>
    </row>
    <row r="23" spans="1:9" x14ac:dyDescent="0.25">
      <c r="A23" s="706">
        <v>15</v>
      </c>
      <c r="B23" s="425" t="s">
        <v>44</v>
      </c>
      <c r="C23" s="412" t="s">
        <v>45</v>
      </c>
      <c r="D23" s="406"/>
      <c r="E23" s="687"/>
      <c r="F23" s="406"/>
      <c r="G23" s="670"/>
      <c r="H23" s="688"/>
      <c r="I23" s="670"/>
    </row>
    <row r="24" spans="1:9" x14ac:dyDescent="0.25">
      <c r="A24" s="706">
        <v>16</v>
      </c>
      <c r="B24" s="425" t="s">
        <v>46</v>
      </c>
      <c r="C24" s="412" t="s">
        <v>47</v>
      </c>
      <c r="D24" s="406"/>
      <c r="E24" s="687"/>
      <c r="F24" s="406"/>
      <c r="G24" s="670"/>
      <c r="H24" s="688"/>
      <c r="I24" s="670"/>
    </row>
    <row r="25" spans="1:9" x14ac:dyDescent="0.25">
      <c r="A25" s="706">
        <v>17</v>
      </c>
      <c r="B25" s="425" t="s">
        <v>48</v>
      </c>
      <c r="C25" s="412" t="s">
        <v>49</v>
      </c>
      <c r="D25" s="406"/>
      <c r="E25" s="687"/>
      <c r="F25" s="406"/>
      <c r="G25" s="670"/>
      <c r="H25" s="688"/>
      <c r="I25" s="670"/>
    </row>
    <row r="26" spans="1:9" x14ac:dyDescent="0.25">
      <c r="A26" s="706">
        <v>18</v>
      </c>
      <c r="B26" s="425" t="s">
        <v>50</v>
      </c>
      <c r="C26" s="412" t="s">
        <v>51</v>
      </c>
      <c r="D26" s="406">
        <v>3710</v>
      </c>
      <c r="E26" s="687">
        <v>447</v>
      </c>
      <c r="F26" s="406"/>
      <c r="G26" s="670"/>
      <c r="H26" s="688"/>
      <c r="I26" s="670"/>
    </row>
    <row r="27" spans="1:9" x14ac:dyDescent="0.25">
      <c r="A27" s="706">
        <v>19</v>
      </c>
      <c r="B27" s="701" t="s">
        <v>52</v>
      </c>
      <c r="C27" s="412" t="s">
        <v>53</v>
      </c>
      <c r="D27" s="406"/>
      <c r="E27" s="687"/>
      <c r="F27" s="406"/>
      <c r="G27" s="670"/>
      <c r="H27" s="688"/>
      <c r="I27" s="670"/>
    </row>
    <row r="28" spans="1:9" x14ac:dyDescent="0.25">
      <c r="A28" s="706">
        <v>20</v>
      </c>
      <c r="B28" s="701" t="s">
        <v>54</v>
      </c>
      <c r="C28" s="412" t="s">
        <v>55</v>
      </c>
      <c r="D28" s="406"/>
      <c r="E28" s="687"/>
      <c r="F28" s="406"/>
      <c r="G28" s="670"/>
      <c r="H28" s="688"/>
      <c r="I28" s="670"/>
    </row>
    <row r="29" spans="1:9" x14ac:dyDescent="0.25">
      <c r="A29" s="706">
        <v>21</v>
      </c>
      <c r="B29" s="701" t="s">
        <v>56</v>
      </c>
      <c r="C29" s="412" t="s">
        <v>57</v>
      </c>
      <c r="D29" s="406">
        <v>1460</v>
      </c>
      <c r="E29" s="687">
        <v>125</v>
      </c>
      <c r="F29" s="406">
        <v>330</v>
      </c>
      <c r="G29" s="670">
        <v>9900</v>
      </c>
      <c r="H29" s="688"/>
      <c r="I29" s="670"/>
    </row>
    <row r="30" spans="1:9" x14ac:dyDescent="0.25">
      <c r="A30" s="706">
        <v>22</v>
      </c>
      <c r="B30" s="701" t="s">
        <v>58</v>
      </c>
      <c r="C30" s="412" t="s">
        <v>59</v>
      </c>
      <c r="D30" s="406">
        <v>1459</v>
      </c>
      <c r="E30" s="687">
        <v>88</v>
      </c>
      <c r="F30" s="406">
        <v>165</v>
      </c>
      <c r="G30" s="670">
        <v>4950</v>
      </c>
      <c r="H30" s="688"/>
      <c r="I30" s="670"/>
    </row>
    <row r="31" spans="1:9" x14ac:dyDescent="0.25">
      <c r="A31" s="706">
        <v>23</v>
      </c>
      <c r="B31" s="425" t="s">
        <v>60</v>
      </c>
      <c r="C31" s="412" t="s">
        <v>61</v>
      </c>
      <c r="D31" s="406"/>
      <c r="E31" s="687"/>
      <c r="F31" s="406"/>
      <c r="G31" s="670"/>
      <c r="H31" s="688"/>
      <c r="I31" s="670"/>
    </row>
    <row r="32" spans="1:9" x14ac:dyDescent="0.25">
      <c r="A32" s="706">
        <v>24</v>
      </c>
      <c r="B32" s="425" t="s">
        <v>62</v>
      </c>
      <c r="C32" s="412" t="s">
        <v>63</v>
      </c>
      <c r="D32" s="406"/>
      <c r="E32" s="687"/>
      <c r="F32" s="406"/>
      <c r="G32" s="670"/>
      <c r="H32" s="688"/>
      <c r="I32" s="670"/>
    </row>
    <row r="33" spans="1:9" ht="24" x14ac:dyDescent="0.25">
      <c r="A33" s="706">
        <v>25</v>
      </c>
      <c r="B33" s="425" t="s">
        <v>64</v>
      </c>
      <c r="C33" s="412" t="s">
        <v>65</v>
      </c>
      <c r="D33" s="406"/>
      <c r="E33" s="687"/>
      <c r="F33" s="406"/>
      <c r="G33" s="670"/>
      <c r="H33" s="688"/>
      <c r="I33" s="670"/>
    </row>
    <row r="34" spans="1:9" x14ac:dyDescent="0.25">
      <c r="A34" s="706">
        <v>26</v>
      </c>
      <c r="B34" s="701" t="s">
        <v>66</v>
      </c>
      <c r="C34" s="412" t="s">
        <v>67</v>
      </c>
      <c r="D34" s="406">
        <v>1459</v>
      </c>
      <c r="E34" s="687">
        <v>125</v>
      </c>
      <c r="F34" s="406">
        <v>330</v>
      </c>
      <c r="G34" s="670">
        <v>9900</v>
      </c>
      <c r="H34" s="688">
        <v>221</v>
      </c>
      <c r="I34" s="670">
        <v>4650</v>
      </c>
    </row>
    <row r="35" spans="1:9" x14ac:dyDescent="0.25">
      <c r="A35" s="706">
        <v>27</v>
      </c>
      <c r="B35" s="425" t="s">
        <v>68</v>
      </c>
      <c r="C35" s="412" t="s">
        <v>69</v>
      </c>
      <c r="D35" s="406"/>
      <c r="E35" s="687"/>
      <c r="F35" s="406"/>
      <c r="G35" s="670"/>
      <c r="H35" s="688"/>
      <c r="I35" s="670"/>
    </row>
    <row r="36" spans="1:9" x14ac:dyDescent="0.25">
      <c r="A36" s="706">
        <v>28</v>
      </c>
      <c r="B36" s="425" t="s">
        <v>70</v>
      </c>
      <c r="C36" s="412" t="s">
        <v>71</v>
      </c>
      <c r="D36" s="406"/>
      <c r="E36" s="687"/>
      <c r="F36" s="406"/>
      <c r="G36" s="670"/>
      <c r="H36" s="688"/>
      <c r="I36" s="670"/>
    </row>
    <row r="37" spans="1:9" x14ac:dyDescent="0.25">
      <c r="A37" s="706">
        <v>29</v>
      </c>
      <c r="B37" s="701" t="s">
        <v>72</v>
      </c>
      <c r="C37" s="412" t="s">
        <v>73</v>
      </c>
      <c r="D37" s="406"/>
      <c r="E37" s="687"/>
      <c r="F37" s="406"/>
      <c r="G37" s="670"/>
      <c r="H37" s="688"/>
      <c r="I37" s="670"/>
    </row>
    <row r="38" spans="1:9" ht="24" x14ac:dyDescent="0.25">
      <c r="A38" s="706">
        <v>30</v>
      </c>
      <c r="B38" s="701" t="s">
        <v>74</v>
      </c>
      <c r="C38" s="412" t="s">
        <v>377</v>
      </c>
      <c r="D38" s="406"/>
      <c r="E38" s="687"/>
      <c r="F38" s="406"/>
      <c r="G38" s="670"/>
      <c r="H38" s="688"/>
      <c r="I38" s="670"/>
    </row>
    <row r="39" spans="1:9" x14ac:dyDescent="0.25">
      <c r="A39" s="706">
        <v>31</v>
      </c>
      <c r="B39" s="701" t="s">
        <v>75</v>
      </c>
      <c r="C39" s="412" t="s">
        <v>76</v>
      </c>
      <c r="D39" s="406"/>
      <c r="E39" s="687"/>
      <c r="F39" s="406"/>
      <c r="G39" s="670"/>
      <c r="H39" s="688"/>
      <c r="I39" s="670"/>
    </row>
    <row r="40" spans="1:9" x14ac:dyDescent="0.25">
      <c r="A40" s="706">
        <v>32</v>
      </c>
      <c r="B40" s="425" t="s">
        <v>77</v>
      </c>
      <c r="C40" s="412" t="s">
        <v>78</v>
      </c>
      <c r="D40" s="406">
        <v>1460</v>
      </c>
      <c r="E40" s="687">
        <v>125</v>
      </c>
      <c r="F40" s="406"/>
      <c r="G40" s="670"/>
      <c r="H40" s="688">
        <v>221</v>
      </c>
      <c r="I40" s="670">
        <v>4650</v>
      </c>
    </row>
    <row r="41" spans="1:9" x14ac:dyDescent="0.25">
      <c r="A41" s="706">
        <v>33</v>
      </c>
      <c r="B41" s="701" t="s">
        <v>79</v>
      </c>
      <c r="C41" s="412" t="s">
        <v>80</v>
      </c>
      <c r="D41" s="406"/>
      <c r="E41" s="687"/>
      <c r="F41" s="406"/>
      <c r="G41" s="670"/>
      <c r="H41" s="688"/>
      <c r="I41" s="670"/>
    </row>
    <row r="42" spans="1:9" x14ac:dyDescent="0.25">
      <c r="A42" s="706">
        <v>34</v>
      </c>
      <c r="B42" s="701" t="s">
        <v>81</v>
      </c>
      <c r="C42" s="412" t="s">
        <v>82</v>
      </c>
      <c r="D42" s="406"/>
      <c r="E42" s="687"/>
      <c r="F42" s="406"/>
      <c r="G42" s="670"/>
      <c r="H42" s="688"/>
      <c r="I42" s="670"/>
    </row>
    <row r="43" spans="1:9" x14ac:dyDescent="0.25">
      <c r="A43" s="706">
        <v>35</v>
      </c>
      <c r="B43" s="701" t="s">
        <v>83</v>
      </c>
      <c r="C43" s="412" t="s">
        <v>84</v>
      </c>
      <c r="D43" s="406"/>
      <c r="E43" s="687"/>
      <c r="F43" s="406"/>
      <c r="G43" s="670"/>
      <c r="H43" s="688"/>
      <c r="I43" s="670"/>
    </row>
    <row r="44" spans="1:9" x14ac:dyDescent="0.25">
      <c r="A44" s="706">
        <v>36</v>
      </c>
      <c r="B44" s="701" t="s">
        <v>85</v>
      </c>
      <c r="C44" s="412" t="s">
        <v>86</v>
      </c>
      <c r="D44" s="406"/>
      <c r="E44" s="687"/>
      <c r="F44" s="406"/>
      <c r="G44" s="670"/>
      <c r="H44" s="688"/>
      <c r="I44" s="670"/>
    </row>
    <row r="45" spans="1:9" x14ac:dyDescent="0.25">
      <c r="A45" s="706">
        <v>37</v>
      </c>
      <c r="B45" s="425" t="s">
        <v>87</v>
      </c>
      <c r="C45" s="412" t="s">
        <v>88</v>
      </c>
      <c r="D45" s="406">
        <v>1460</v>
      </c>
      <c r="E45" s="687">
        <v>125</v>
      </c>
      <c r="F45" s="406">
        <v>330</v>
      </c>
      <c r="G45" s="670">
        <v>9900</v>
      </c>
      <c r="H45" s="688"/>
      <c r="I45" s="670"/>
    </row>
    <row r="46" spans="1:9" x14ac:dyDescent="0.25">
      <c r="A46" s="706">
        <v>38</v>
      </c>
      <c r="B46" s="701" t="s">
        <v>89</v>
      </c>
      <c r="C46" s="412" t="s">
        <v>90</v>
      </c>
      <c r="D46" s="406">
        <v>1459</v>
      </c>
      <c r="E46" s="687">
        <v>88</v>
      </c>
      <c r="F46" s="406"/>
      <c r="G46" s="670"/>
      <c r="H46" s="688">
        <v>148</v>
      </c>
      <c r="I46" s="670">
        <v>3100</v>
      </c>
    </row>
    <row r="47" spans="1:9" x14ac:dyDescent="0.25">
      <c r="A47" s="706">
        <v>39</v>
      </c>
      <c r="B47" s="701" t="s">
        <v>91</v>
      </c>
      <c r="C47" s="412" t="s">
        <v>92</v>
      </c>
      <c r="D47" s="406"/>
      <c r="E47" s="687"/>
      <c r="F47" s="406"/>
      <c r="G47" s="670"/>
      <c r="H47" s="688"/>
      <c r="I47" s="670"/>
    </row>
    <row r="48" spans="1:9" x14ac:dyDescent="0.25">
      <c r="A48" s="706">
        <v>40</v>
      </c>
      <c r="B48" s="702" t="s">
        <v>93</v>
      </c>
      <c r="C48" s="427" t="s">
        <v>94</v>
      </c>
      <c r="D48" s="406"/>
      <c r="E48" s="687"/>
      <c r="F48" s="406"/>
      <c r="G48" s="670"/>
      <c r="H48" s="688"/>
      <c r="I48" s="670"/>
    </row>
    <row r="49" spans="1:9" x14ac:dyDescent="0.25">
      <c r="A49" s="706">
        <v>41</v>
      </c>
      <c r="B49" s="701" t="s">
        <v>95</v>
      </c>
      <c r="C49" s="412" t="s">
        <v>96</v>
      </c>
      <c r="D49" s="406"/>
      <c r="E49" s="687"/>
      <c r="F49" s="406"/>
      <c r="G49" s="670"/>
      <c r="H49" s="688"/>
      <c r="I49" s="670"/>
    </row>
    <row r="50" spans="1:9" x14ac:dyDescent="0.25">
      <c r="A50" s="706">
        <v>42</v>
      </c>
      <c r="B50" s="701" t="s">
        <v>97</v>
      </c>
      <c r="C50" s="412" t="s">
        <v>98</v>
      </c>
      <c r="D50" s="406"/>
      <c r="E50" s="687"/>
      <c r="F50" s="406"/>
      <c r="G50" s="670"/>
      <c r="H50" s="688"/>
      <c r="I50" s="670"/>
    </row>
    <row r="51" spans="1:9" x14ac:dyDescent="0.25">
      <c r="A51" s="706">
        <v>43</v>
      </c>
      <c r="B51" s="425" t="s">
        <v>99</v>
      </c>
      <c r="C51" s="412" t="s">
        <v>100</v>
      </c>
      <c r="D51" s="406"/>
      <c r="E51" s="687"/>
      <c r="F51" s="406"/>
      <c r="G51" s="670"/>
      <c r="H51" s="688"/>
      <c r="I51" s="670"/>
    </row>
    <row r="52" spans="1:9" x14ac:dyDescent="0.25">
      <c r="A52" s="706">
        <v>44</v>
      </c>
      <c r="B52" s="701" t="s">
        <v>101</v>
      </c>
      <c r="C52" s="412" t="s">
        <v>102</v>
      </c>
      <c r="D52" s="406">
        <v>1459</v>
      </c>
      <c r="E52" s="687">
        <v>88</v>
      </c>
      <c r="F52" s="406"/>
      <c r="G52" s="670"/>
      <c r="H52" s="688">
        <v>148</v>
      </c>
      <c r="I52" s="670">
        <v>3100</v>
      </c>
    </row>
    <row r="53" spans="1:9" x14ac:dyDescent="0.25">
      <c r="A53" s="706">
        <v>45</v>
      </c>
      <c r="B53" s="425" t="s">
        <v>103</v>
      </c>
      <c r="C53" s="412" t="s">
        <v>104</v>
      </c>
      <c r="D53" s="406"/>
      <c r="E53" s="687"/>
      <c r="F53" s="406"/>
      <c r="G53" s="670"/>
      <c r="H53" s="688"/>
      <c r="I53" s="670"/>
    </row>
    <row r="54" spans="1:9" x14ac:dyDescent="0.25">
      <c r="A54" s="706">
        <v>46</v>
      </c>
      <c r="B54" s="701" t="s">
        <v>105</v>
      </c>
      <c r="C54" s="412" t="s">
        <v>106</v>
      </c>
      <c r="D54" s="406"/>
      <c r="E54" s="687"/>
      <c r="F54" s="406"/>
      <c r="G54" s="670"/>
      <c r="H54" s="688"/>
      <c r="I54" s="670"/>
    </row>
    <row r="55" spans="1:9" x14ac:dyDescent="0.25">
      <c r="A55" s="706">
        <v>47</v>
      </c>
      <c r="B55" s="701" t="s">
        <v>107</v>
      </c>
      <c r="C55" s="412" t="s">
        <v>108</v>
      </c>
      <c r="D55" s="406">
        <v>1460</v>
      </c>
      <c r="E55" s="687">
        <v>125</v>
      </c>
      <c r="F55" s="406">
        <v>330</v>
      </c>
      <c r="G55" s="670">
        <v>9900</v>
      </c>
      <c r="H55" s="688"/>
      <c r="I55" s="670"/>
    </row>
    <row r="56" spans="1:9" x14ac:dyDescent="0.25">
      <c r="A56" s="706">
        <v>48</v>
      </c>
      <c r="B56" s="425" t="s">
        <v>109</v>
      </c>
      <c r="C56" s="412" t="s">
        <v>110</v>
      </c>
      <c r="D56" s="406"/>
      <c r="E56" s="687"/>
      <c r="F56" s="406"/>
      <c r="G56" s="670"/>
      <c r="H56" s="688"/>
      <c r="I56" s="670"/>
    </row>
    <row r="57" spans="1:9" x14ac:dyDescent="0.25">
      <c r="A57" s="706">
        <v>49</v>
      </c>
      <c r="B57" s="425" t="s">
        <v>111</v>
      </c>
      <c r="C57" s="412" t="s">
        <v>112</v>
      </c>
      <c r="D57" s="406"/>
      <c r="E57" s="687"/>
      <c r="F57" s="406"/>
      <c r="G57" s="670"/>
      <c r="H57" s="688"/>
      <c r="I57" s="670"/>
    </row>
    <row r="58" spans="1:9" x14ac:dyDescent="0.25">
      <c r="A58" s="706">
        <v>50</v>
      </c>
      <c r="B58" s="701" t="s">
        <v>113</v>
      </c>
      <c r="C58" s="412" t="s">
        <v>114</v>
      </c>
      <c r="D58" s="406"/>
      <c r="E58" s="687"/>
      <c r="F58" s="406"/>
      <c r="G58" s="670"/>
      <c r="H58" s="688"/>
      <c r="I58" s="670"/>
    </row>
    <row r="59" spans="1:9" x14ac:dyDescent="0.25">
      <c r="A59" s="706">
        <v>51</v>
      </c>
      <c r="B59" s="425" t="s">
        <v>115</v>
      </c>
      <c r="C59" s="412" t="s">
        <v>116</v>
      </c>
      <c r="D59" s="406"/>
      <c r="E59" s="687"/>
      <c r="F59" s="406"/>
      <c r="G59" s="670"/>
      <c r="H59" s="688"/>
      <c r="I59" s="670"/>
    </row>
    <row r="60" spans="1:9" x14ac:dyDescent="0.25">
      <c r="A60" s="706">
        <v>52</v>
      </c>
      <c r="B60" s="701" t="s">
        <v>117</v>
      </c>
      <c r="C60" s="412" t="s">
        <v>118</v>
      </c>
      <c r="D60" s="406"/>
      <c r="E60" s="687"/>
      <c r="F60" s="406"/>
      <c r="G60" s="670"/>
      <c r="H60" s="688"/>
      <c r="I60" s="670"/>
    </row>
    <row r="61" spans="1:9" x14ac:dyDescent="0.25">
      <c r="A61" s="706">
        <v>53</v>
      </c>
      <c r="B61" s="425" t="s">
        <v>119</v>
      </c>
      <c r="C61" s="412" t="s">
        <v>120</v>
      </c>
      <c r="D61" s="406"/>
      <c r="E61" s="687"/>
      <c r="F61" s="406"/>
      <c r="G61" s="670"/>
      <c r="H61" s="688"/>
      <c r="I61" s="670"/>
    </row>
    <row r="62" spans="1:9" ht="11.25" customHeight="1" x14ac:dyDescent="0.25">
      <c r="A62" s="706">
        <v>54</v>
      </c>
      <c r="B62" s="425" t="s">
        <v>121</v>
      </c>
      <c r="C62" s="412" t="s">
        <v>122</v>
      </c>
      <c r="D62" s="406"/>
      <c r="E62" s="687"/>
      <c r="F62" s="406"/>
      <c r="G62" s="670"/>
      <c r="H62" s="688"/>
      <c r="I62" s="670"/>
    </row>
    <row r="63" spans="1:9" x14ac:dyDescent="0.25">
      <c r="A63" s="706">
        <v>55</v>
      </c>
      <c r="B63" s="425" t="s">
        <v>123</v>
      </c>
      <c r="C63" s="412" t="s">
        <v>124</v>
      </c>
      <c r="D63" s="406"/>
      <c r="E63" s="687"/>
      <c r="F63" s="406"/>
      <c r="G63" s="670"/>
      <c r="H63" s="688"/>
      <c r="I63" s="670"/>
    </row>
    <row r="64" spans="1:9" ht="11.25" customHeight="1" x14ac:dyDescent="0.25">
      <c r="A64" s="706">
        <v>56</v>
      </c>
      <c r="B64" s="707" t="s">
        <v>125</v>
      </c>
      <c r="C64" s="418" t="s">
        <v>126</v>
      </c>
      <c r="D64" s="406"/>
      <c r="E64" s="687"/>
      <c r="F64" s="406"/>
      <c r="G64" s="670"/>
      <c r="H64" s="688"/>
      <c r="I64" s="670"/>
    </row>
    <row r="65" spans="1:9" ht="24" x14ac:dyDescent="0.25">
      <c r="A65" s="706">
        <v>57</v>
      </c>
      <c r="B65" s="425" t="s">
        <v>127</v>
      </c>
      <c r="C65" s="412" t="s">
        <v>128</v>
      </c>
      <c r="D65" s="406"/>
      <c r="E65" s="687"/>
      <c r="F65" s="406"/>
      <c r="G65" s="670"/>
      <c r="H65" s="688"/>
      <c r="I65" s="670"/>
    </row>
    <row r="66" spans="1:9" ht="24" x14ac:dyDescent="0.25">
      <c r="A66" s="706">
        <v>58</v>
      </c>
      <c r="B66" s="425" t="s">
        <v>129</v>
      </c>
      <c r="C66" s="412" t="s">
        <v>460</v>
      </c>
      <c r="D66" s="406"/>
      <c r="E66" s="687"/>
      <c r="F66" s="406"/>
      <c r="G66" s="670"/>
      <c r="H66" s="688"/>
      <c r="I66" s="670"/>
    </row>
    <row r="67" spans="1:9" ht="24" x14ac:dyDescent="0.25">
      <c r="A67" s="706">
        <v>59</v>
      </c>
      <c r="B67" s="425" t="s">
        <v>131</v>
      </c>
      <c r="C67" s="412" t="s">
        <v>132</v>
      </c>
      <c r="D67" s="406"/>
      <c r="E67" s="687"/>
      <c r="F67" s="406"/>
      <c r="G67" s="670"/>
      <c r="H67" s="688"/>
      <c r="I67" s="670"/>
    </row>
    <row r="68" spans="1:9" ht="24" x14ac:dyDescent="0.25">
      <c r="A68" s="706">
        <v>60</v>
      </c>
      <c r="B68" s="701" t="s">
        <v>133</v>
      </c>
      <c r="C68" s="412" t="s">
        <v>299</v>
      </c>
      <c r="D68" s="406"/>
      <c r="E68" s="687"/>
      <c r="F68" s="406"/>
      <c r="G68" s="670"/>
      <c r="H68" s="688"/>
      <c r="I68" s="670"/>
    </row>
    <row r="69" spans="1:9" ht="24" x14ac:dyDescent="0.25">
      <c r="A69" s="706">
        <v>61</v>
      </c>
      <c r="B69" s="701" t="s">
        <v>135</v>
      </c>
      <c r="C69" s="412" t="s">
        <v>462</v>
      </c>
      <c r="D69" s="406"/>
      <c r="E69" s="687"/>
      <c r="F69" s="406"/>
      <c r="G69" s="670"/>
      <c r="H69" s="688"/>
      <c r="I69" s="670"/>
    </row>
    <row r="70" spans="1:9" ht="24" x14ac:dyDescent="0.25">
      <c r="A70" s="706">
        <v>62</v>
      </c>
      <c r="B70" s="701" t="s">
        <v>137</v>
      </c>
      <c r="C70" s="412" t="s">
        <v>645</v>
      </c>
      <c r="D70" s="406"/>
      <c r="E70" s="687"/>
      <c r="F70" s="406"/>
      <c r="G70" s="670"/>
      <c r="H70" s="688"/>
      <c r="I70" s="670"/>
    </row>
    <row r="71" spans="1:9" ht="24" x14ac:dyDescent="0.25">
      <c r="A71" s="706">
        <v>63</v>
      </c>
      <c r="B71" s="425" t="s">
        <v>139</v>
      </c>
      <c r="C71" s="412" t="s">
        <v>646</v>
      </c>
      <c r="D71" s="406"/>
      <c r="E71" s="687"/>
      <c r="F71" s="406"/>
      <c r="G71" s="670"/>
      <c r="H71" s="688"/>
      <c r="I71" s="670"/>
    </row>
    <row r="72" spans="1:9" ht="12.75" customHeight="1" x14ac:dyDescent="0.25">
      <c r="A72" s="706">
        <v>64</v>
      </c>
      <c r="B72" s="701" t="s">
        <v>141</v>
      </c>
      <c r="C72" s="412" t="s">
        <v>457</v>
      </c>
      <c r="D72" s="406"/>
      <c r="E72" s="687"/>
      <c r="F72" s="406"/>
      <c r="G72" s="670"/>
      <c r="H72" s="688"/>
      <c r="I72" s="670"/>
    </row>
    <row r="73" spans="1:9" ht="12.75" customHeight="1" x14ac:dyDescent="0.25">
      <c r="A73" s="706">
        <v>65</v>
      </c>
      <c r="B73" s="701" t="s">
        <v>143</v>
      </c>
      <c r="C73" s="412" t="s">
        <v>144</v>
      </c>
      <c r="D73" s="406"/>
      <c r="E73" s="687"/>
      <c r="F73" s="406"/>
      <c r="G73" s="670"/>
      <c r="H73" s="688"/>
      <c r="I73" s="670"/>
    </row>
    <row r="74" spans="1:9" ht="12.75" customHeight="1" x14ac:dyDescent="0.25">
      <c r="A74" s="706">
        <v>66</v>
      </c>
      <c r="B74" s="701" t="s">
        <v>145</v>
      </c>
      <c r="C74" s="412" t="s">
        <v>458</v>
      </c>
      <c r="D74" s="406"/>
      <c r="E74" s="687"/>
      <c r="F74" s="406"/>
      <c r="G74" s="670"/>
      <c r="H74" s="688"/>
      <c r="I74" s="670"/>
    </row>
    <row r="75" spans="1:9" ht="24" x14ac:dyDescent="0.25">
      <c r="A75" s="706">
        <v>67</v>
      </c>
      <c r="B75" s="701" t="s">
        <v>147</v>
      </c>
      <c r="C75" s="412" t="s">
        <v>647</v>
      </c>
      <c r="D75" s="406"/>
      <c r="E75" s="687"/>
      <c r="F75" s="406"/>
      <c r="G75" s="670"/>
      <c r="H75" s="688"/>
      <c r="I75" s="670"/>
    </row>
    <row r="76" spans="1:9" ht="24" x14ac:dyDescent="0.25">
      <c r="A76" s="706">
        <v>68</v>
      </c>
      <c r="B76" s="701" t="s">
        <v>149</v>
      </c>
      <c r="C76" s="412" t="s">
        <v>464</v>
      </c>
      <c r="D76" s="406"/>
      <c r="E76" s="687"/>
      <c r="F76" s="406"/>
      <c r="G76" s="670"/>
      <c r="H76" s="688"/>
      <c r="I76" s="670"/>
    </row>
    <row r="77" spans="1:9" ht="24" x14ac:dyDescent="0.25">
      <c r="A77" s="706">
        <v>69</v>
      </c>
      <c r="B77" s="701" t="s">
        <v>151</v>
      </c>
      <c r="C77" s="412" t="s">
        <v>648</v>
      </c>
      <c r="D77" s="406"/>
      <c r="E77" s="687"/>
      <c r="F77" s="406"/>
      <c r="G77" s="670"/>
      <c r="H77" s="688"/>
      <c r="I77" s="670"/>
    </row>
    <row r="78" spans="1:9" ht="24" x14ac:dyDescent="0.25">
      <c r="A78" s="706">
        <v>70</v>
      </c>
      <c r="B78" s="701" t="s">
        <v>153</v>
      </c>
      <c r="C78" s="412" t="s">
        <v>649</v>
      </c>
      <c r="D78" s="406"/>
      <c r="E78" s="687"/>
      <c r="F78" s="406"/>
      <c r="G78" s="670"/>
      <c r="H78" s="688"/>
      <c r="I78" s="670"/>
    </row>
    <row r="79" spans="1:9" ht="24" x14ac:dyDescent="0.25">
      <c r="A79" s="706">
        <v>71</v>
      </c>
      <c r="B79" s="425" t="s">
        <v>155</v>
      </c>
      <c r="C79" s="412" t="s">
        <v>650</v>
      </c>
      <c r="D79" s="406"/>
      <c r="E79" s="687"/>
      <c r="F79" s="406"/>
      <c r="G79" s="670"/>
      <c r="H79" s="688"/>
      <c r="I79" s="670"/>
    </row>
    <row r="80" spans="1:9" ht="24" x14ac:dyDescent="0.25">
      <c r="A80" s="706">
        <v>72</v>
      </c>
      <c r="B80" s="701" t="s">
        <v>157</v>
      </c>
      <c r="C80" s="412" t="s">
        <v>651</v>
      </c>
      <c r="D80" s="406"/>
      <c r="E80" s="687"/>
      <c r="F80" s="406"/>
      <c r="G80" s="670"/>
      <c r="H80" s="688"/>
      <c r="I80" s="670"/>
    </row>
    <row r="81" spans="1:9" ht="24" x14ac:dyDescent="0.25">
      <c r="A81" s="706">
        <v>73</v>
      </c>
      <c r="B81" s="425" t="s">
        <v>159</v>
      </c>
      <c r="C81" s="412" t="s">
        <v>652</v>
      </c>
      <c r="D81" s="406"/>
      <c r="E81" s="687"/>
      <c r="F81" s="406"/>
      <c r="G81" s="670"/>
      <c r="H81" s="688"/>
      <c r="I81" s="670"/>
    </row>
    <row r="82" spans="1:9" x14ac:dyDescent="0.25">
      <c r="A82" s="706">
        <v>74</v>
      </c>
      <c r="B82" s="701" t="s">
        <v>161</v>
      </c>
      <c r="C82" s="412" t="s">
        <v>162</v>
      </c>
      <c r="D82" s="406"/>
      <c r="E82" s="687"/>
      <c r="F82" s="406"/>
      <c r="G82" s="670"/>
      <c r="H82" s="688"/>
      <c r="I82" s="670"/>
    </row>
    <row r="83" spans="1:9" x14ac:dyDescent="0.25">
      <c r="A83" s="706">
        <v>75</v>
      </c>
      <c r="B83" s="425" t="s">
        <v>163</v>
      </c>
      <c r="C83" s="412" t="s">
        <v>459</v>
      </c>
      <c r="D83" s="406">
        <v>75</v>
      </c>
      <c r="E83" s="687"/>
      <c r="F83" s="406"/>
      <c r="G83" s="670"/>
      <c r="H83" s="688"/>
      <c r="I83" s="670"/>
    </row>
    <row r="84" spans="1:9" x14ac:dyDescent="0.25">
      <c r="A84" s="706">
        <v>76</v>
      </c>
      <c r="B84" s="425" t="s">
        <v>165</v>
      </c>
      <c r="C84" s="412" t="s">
        <v>166</v>
      </c>
      <c r="D84" s="406"/>
      <c r="E84" s="687"/>
      <c r="F84" s="406"/>
      <c r="G84" s="670"/>
      <c r="H84" s="688"/>
      <c r="I84" s="670"/>
    </row>
    <row r="85" spans="1:9" x14ac:dyDescent="0.25">
      <c r="A85" s="706">
        <v>77</v>
      </c>
      <c r="B85" s="701" t="s">
        <v>167</v>
      </c>
      <c r="C85" s="412" t="s">
        <v>168</v>
      </c>
      <c r="D85" s="406"/>
      <c r="E85" s="687"/>
      <c r="F85" s="406"/>
      <c r="G85" s="670"/>
      <c r="H85" s="688"/>
      <c r="I85" s="670"/>
    </row>
    <row r="86" spans="1:9" x14ac:dyDescent="0.25">
      <c r="A86" s="706">
        <v>78</v>
      </c>
      <c r="B86" s="701" t="s">
        <v>169</v>
      </c>
      <c r="C86" s="412" t="s">
        <v>170</v>
      </c>
      <c r="D86" s="406"/>
      <c r="E86" s="687"/>
      <c r="F86" s="406"/>
      <c r="G86" s="670"/>
      <c r="H86" s="688"/>
      <c r="I86" s="670"/>
    </row>
    <row r="87" spans="1:9" x14ac:dyDescent="0.25">
      <c r="A87" s="706">
        <v>79</v>
      </c>
      <c r="B87" s="701" t="s">
        <v>171</v>
      </c>
      <c r="C87" s="412" t="s">
        <v>172</v>
      </c>
      <c r="D87" s="406"/>
      <c r="E87" s="687"/>
      <c r="F87" s="406"/>
      <c r="G87" s="670"/>
      <c r="H87" s="688"/>
      <c r="I87" s="670"/>
    </row>
    <row r="88" spans="1:9" x14ac:dyDescent="0.25">
      <c r="A88" s="706">
        <v>80</v>
      </c>
      <c r="B88" s="701" t="s">
        <v>173</v>
      </c>
      <c r="C88" s="412" t="s">
        <v>622</v>
      </c>
      <c r="D88" s="406"/>
      <c r="E88" s="687"/>
      <c r="F88" s="406"/>
      <c r="G88" s="670"/>
      <c r="H88" s="688"/>
      <c r="I88" s="670"/>
    </row>
    <row r="89" spans="1:9" x14ac:dyDescent="0.25">
      <c r="A89" s="706">
        <v>81</v>
      </c>
      <c r="B89" s="701" t="s">
        <v>175</v>
      </c>
      <c r="C89" s="412" t="s">
        <v>176</v>
      </c>
      <c r="D89" s="406"/>
      <c r="E89" s="687"/>
      <c r="F89" s="406"/>
      <c r="G89" s="670"/>
      <c r="H89" s="688"/>
      <c r="I89" s="670"/>
    </row>
    <row r="90" spans="1:9" x14ac:dyDescent="0.25">
      <c r="A90" s="706">
        <v>82</v>
      </c>
      <c r="B90" s="419" t="s">
        <v>177</v>
      </c>
      <c r="C90" s="418" t="s">
        <v>760</v>
      </c>
      <c r="D90" s="406"/>
      <c r="E90" s="687"/>
      <c r="F90" s="406"/>
      <c r="G90" s="670"/>
      <c r="H90" s="688"/>
      <c r="I90" s="670"/>
    </row>
    <row r="91" spans="1:9" ht="24" x14ac:dyDescent="0.25">
      <c r="A91" s="1189">
        <v>83</v>
      </c>
      <c r="B91" s="1192" t="s">
        <v>178</v>
      </c>
      <c r="C91" s="420" t="s">
        <v>761</v>
      </c>
      <c r="D91" s="406"/>
      <c r="E91" s="687"/>
      <c r="F91" s="406"/>
      <c r="G91" s="670"/>
      <c r="H91" s="688"/>
      <c r="I91" s="670"/>
    </row>
    <row r="92" spans="1:9" ht="24" x14ac:dyDescent="0.25">
      <c r="A92" s="1190"/>
      <c r="B92" s="1193"/>
      <c r="C92" s="418" t="s">
        <v>179</v>
      </c>
      <c r="D92" s="406"/>
      <c r="E92" s="687"/>
      <c r="F92" s="406"/>
      <c r="G92" s="670"/>
      <c r="H92" s="688"/>
      <c r="I92" s="670"/>
    </row>
    <row r="93" spans="1:9" ht="24" x14ac:dyDescent="0.25">
      <c r="A93" s="1190"/>
      <c r="B93" s="1193"/>
      <c r="C93" s="418" t="s">
        <v>180</v>
      </c>
      <c r="D93" s="406"/>
      <c r="E93" s="687"/>
      <c r="F93" s="406"/>
      <c r="G93" s="670"/>
      <c r="H93" s="688"/>
      <c r="I93" s="670"/>
    </row>
    <row r="94" spans="1:9" ht="36" x14ac:dyDescent="0.25">
      <c r="A94" s="1191"/>
      <c r="B94" s="1194"/>
      <c r="C94" s="421" t="s">
        <v>510</v>
      </c>
      <c r="D94" s="406"/>
      <c r="E94" s="687"/>
      <c r="F94" s="406"/>
      <c r="G94" s="670"/>
      <c r="H94" s="688"/>
      <c r="I94" s="670"/>
    </row>
    <row r="95" spans="1:9" ht="24" x14ac:dyDescent="0.25">
      <c r="A95" s="706">
        <v>84</v>
      </c>
      <c r="B95" s="425" t="s">
        <v>181</v>
      </c>
      <c r="C95" s="412" t="s">
        <v>182</v>
      </c>
      <c r="D95" s="406"/>
      <c r="E95" s="687"/>
      <c r="F95" s="406"/>
      <c r="G95" s="670"/>
      <c r="H95" s="688"/>
      <c r="I95" s="670"/>
    </row>
    <row r="96" spans="1:9" x14ac:dyDescent="0.25">
      <c r="A96" s="706">
        <v>85</v>
      </c>
      <c r="B96" s="701" t="s">
        <v>183</v>
      </c>
      <c r="C96" s="412" t="s">
        <v>184</v>
      </c>
      <c r="D96" s="406"/>
      <c r="E96" s="687"/>
      <c r="F96" s="406"/>
      <c r="G96" s="670"/>
      <c r="H96" s="688"/>
      <c r="I96" s="670"/>
    </row>
    <row r="97" spans="1:9" ht="12" customHeight="1" x14ac:dyDescent="0.25">
      <c r="A97" s="706">
        <v>86</v>
      </c>
      <c r="B97" s="425" t="s">
        <v>185</v>
      </c>
      <c r="C97" s="412" t="s">
        <v>186</v>
      </c>
      <c r="D97" s="406"/>
      <c r="E97" s="687"/>
      <c r="F97" s="406"/>
      <c r="G97" s="670"/>
      <c r="H97" s="688"/>
      <c r="I97" s="670"/>
    </row>
    <row r="98" spans="1:9" x14ac:dyDescent="0.25">
      <c r="A98" s="706">
        <v>87</v>
      </c>
      <c r="B98" s="701" t="s">
        <v>187</v>
      </c>
      <c r="C98" s="412" t="s">
        <v>188</v>
      </c>
      <c r="D98" s="406">
        <v>1459</v>
      </c>
      <c r="E98" s="687">
        <v>88</v>
      </c>
      <c r="F98" s="406">
        <v>165</v>
      </c>
      <c r="G98" s="670">
        <v>4950</v>
      </c>
      <c r="H98" s="688"/>
      <c r="I98" s="670"/>
    </row>
    <row r="99" spans="1:9" x14ac:dyDescent="0.25">
      <c r="A99" s="706">
        <v>88</v>
      </c>
      <c r="B99" s="701" t="s">
        <v>189</v>
      </c>
      <c r="C99" s="412" t="s">
        <v>190</v>
      </c>
      <c r="D99" s="406">
        <v>1459</v>
      </c>
      <c r="E99" s="687">
        <v>88</v>
      </c>
      <c r="F99" s="406"/>
      <c r="G99" s="670"/>
      <c r="H99" s="688"/>
      <c r="I99" s="670"/>
    </row>
    <row r="100" spans="1:9" x14ac:dyDescent="0.25">
      <c r="A100" s="706">
        <v>89</v>
      </c>
      <c r="B100" s="701" t="s">
        <v>191</v>
      </c>
      <c r="C100" s="412" t="s">
        <v>192</v>
      </c>
      <c r="D100" s="406"/>
      <c r="E100" s="687"/>
      <c r="F100" s="406"/>
      <c r="G100" s="670"/>
      <c r="H100" s="688"/>
      <c r="I100" s="670"/>
    </row>
    <row r="101" spans="1:9" ht="12" customHeight="1" x14ac:dyDescent="0.25">
      <c r="A101" s="706">
        <v>90</v>
      </c>
      <c r="B101" s="701" t="s">
        <v>193</v>
      </c>
      <c r="C101" s="412" t="s">
        <v>194</v>
      </c>
      <c r="D101" s="406"/>
      <c r="E101" s="687"/>
      <c r="F101" s="406"/>
      <c r="G101" s="670"/>
      <c r="H101" s="688"/>
      <c r="I101" s="670"/>
    </row>
    <row r="102" spans="1:9" x14ac:dyDescent="0.25">
      <c r="A102" s="706">
        <v>91</v>
      </c>
      <c r="B102" s="701" t="s">
        <v>195</v>
      </c>
      <c r="C102" s="412" t="s">
        <v>196</v>
      </c>
      <c r="D102" s="406"/>
      <c r="E102" s="687"/>
      <c r="F102" s="406"/>
      <c r="G102" s="670"/>
      <c r="H102" s="688"/>
      <c r="I102" s="670"/>
    </row>
    <row r="103" spans="1:9" x14ac:dyDescent="0.25">
      <c r="A103" s="706">
        <v>92</v>
      </c>
      <c r="B103" s="701" t="s">
        <v>197</v>
      </c>
      <c r="C103" s="412" t="s">
        <v>198</v>
      </c>
      <c r="D103" s="406"/>
      <c r="E103" s="687"/>
      <c r="F103" s="406"/>
      <c r="G103" s="670"/>
      <c r="H103" s="688"/>
      <c r="I103" s="670"/>
    </row>
    <row r="104" spans="1:9" x14ac:dyDescent="0.25">
      <c r="A104" s="706">
        <v>93</v>
      </c>
      <c r="B104" s="701" t="s">
        <v>199</v>
      </c>
      <c r="C104" s="412" t="s">
        <v>200</v>
      </c>
      <c r="D104" s="406"/>
      <c r="E104" s="687"/>
      <c r="F104" s="406"/>
      <c r="G104" s="670"/>
      <c r="H104" s="688"/>
      <c r="I104" s="670"/>
    </row>
    <row r="105" spans="1:9" x14ac:dyDescent="0.25">
      <c r="A105" s="706">
        <v>94</v>
      </c>
      <c r="B105" s="425" t="s">
        <v>201</v>
      </c>
      <c r="C105" s="412" t="s">
        <v>202</v>
      </c>
      <c r="D105" s="406">
        <v>1460</v>
      </c>
      <c r="E105" s="687">
        <v>110</v>
      </c>
      <c r="F105" s="406">
        <v>330</v>
      </c>
      <c r="G105" s="670">
        <v>9900</v>
      </c>
      <c r="H105" s="688"/>
      <c r="I105" s="670"/>
    </row>
    <row r="106" spans="1:9" x14ac:dyDescent="0.25">
      <c r="A106" s="706">
        <v>95</v>
      </c>
      <c r="B106" s="701" t="s">
        <v>203</v>
      </c>
      <c r="C106" s="412" t="s">
        <v>204</v>
      </c>
      <c r="D106" s="406"/>
      <c r="E106" s="687"/>
      <c r="F106" s="406"/>
      <c r="G106" s="670"/>
      <c r="H106" s="688"/>
      <c r="I106" s="670"/>
    </row>
    <row r="107" spans="1:9" x14ac:dyDescent="0.25">
      <c r="A107" s="706">
        <v>96</v>
      </c>
      <c r="B107" s="701" t="s">
        <v>205</v>
      </c>
      <c r="C107" s="412" t="s">
        <v>206</v>
      </c>
      <c r="D107" s="406"/>
      <c r="E107" s="687"/>
      <c r="F107" s="406"/>
      <c r="G107" s="670"/>
      <c r="H107" s="688"/>
      <c r="I107" s="670"/>
    </row>
    <row r="108" spans="1:9" x14ac:dyDescent="0.25">
      <c r="A108" s="706">
        <v>97</v>
      </c>
      <c r="B108" s="425" t="s">
        <v>207</v>
      </c>
      <c r="C108" s="412" t="s">
        <v>208</v>
      </c>
      <c r="D108" s="406"/>
      <c r="E108" s="687"/>
      <c r="F108" s="406"/>
      <c r="G108" s="670"/>
      <c r="H108" s="688"/>
      <c r="I108" s="670"/>
    </row>
    <row r="109" spans="1:9" x14ac:dyDescent="0.25">
      <c r="A109" s="706">
        <v>98</v>
      </c>
      <c r="B109" s="701" t="s">
        <v>209</v>
      </c>
      <c r="C109" s="412" t="s">
        <v>210</v>
      </c>
      <c r="D109" s="406"/>
      <c r="E109" s="687"/>
      <c r="F109" s="406"/>
      <c r="G109" s="670"/>
      <c r="H109" s="688"/>
      <c r="I109" s="670"/>
    </row>
    <row r="110" spans="1:9" x14ac:dyDescent="0.25">
      <c r="A110" s="706">
        <v>99</v>
      </c>
      <c r="B110" s="425" t="s">
        <v>211</v>
      </c>
      <c r="C110" s="412" t="s">
        <v>212</v>
      </c>
      <c r="D110" s="406">
        <v>1459</v>
      </c>
      <c r="E110" s="687">
        <v>88</v>
      </c>
      <c r="F110" s="406"/>
      <c r="G110" s="670"/>
      <c r="H110" s="688">
        <v>148</v>
      </c>
      <c r="I110" s="670">
        <v>3100</v>
      </c>
    </row>
    <row r="111" spans="1:9" x14ac:dyDescent="0.25">
      <c r="A111" s="706">
        <v>100</v>
      </c>
      <c r="B111" s="425" t="s">
        <v>213</v>
      </c>
      <c r="C111" s="412" t="s">
        <v>214</v>
      </c>
      <c r="D111" s="406"/>
      <c r="E111" s="687"/>
      <c r="F111" s="406"/>
      <c r="G111" s="670"/>
      <c r="H111" s="688"/>
      <c r="I111" s="670"/>
    </row>
    <row r="112" spans="1:9" x14ac:dyDescent="0.25">
      <c r="A112" s="706">
        <v>101</v>
      </c>
      <c r="B112" s="701" t="s">
        <v>215</v>
      </c>
      <c r="C112" s="412" t="s">
        <v>216</v>
      </c>
      <c r="D112" s="406"/>
      <c r="E112" s="687"/>
      <c r="F112" s="406"/>
      <c r="G112" s="670"/>
      <c r="H112" s="688"/>
      <c r="I112" s="670"/>
    </row>
    <row r="113" spans="1:9" x14ac:dyDescent="0.25">
      <c r="A113" s="706">
        <v>102</v>
      </c>
      <c r="B113" s="701" t="s">
        <v>217</v>
      </c>
      <c r="C113" s="412" t="s">
        <v>218</v>
      </c>
      <c r="D113" s="406"/>
      <c r="E113" s="687"/>
      <c r="F113" s="406"/>
      <c r="G113" s="670"/>
      <c r="H113" s="688"/>
      <c r="I113" s="670"/>
    </row>
    <row r="114" spans="1:9" x14ac:dyDescent="0.25">
      <c r="A114" s="706">
        <v>103</v>
      </c>
      <c r="B114" s="701" t="s">
        <v>219</v>
      </c>
      <c r="C114" s="412" t="s">
        <v>220</v>
      </c>
      <c r="D114" s="406"/>
      <c r="E114" s="687"/>
      <c r="F114" s="406"/>
      <c r="G114" s="670"/>
      <c r="H114" s="688"/>
      <c r="I114" s="670"/>
    </row>
    <row r="115" spans="1:9" x14ac:dyDescent="0.25">
      <c r="A115" s="706">
        <v>104</v>
      </c>
      <c r="B115" s="701" t="s">
        <v>221</v>
      </c>
      <c r="C115" s="412" t="s">
        <v>222</v>
      </c>
      <c r="D115" s="406"/>
      <c r="E115" s="687"/>
      <c r="F115" s="406"/>
      <c r="G115" s="670"/>
      <c r="H115" s="688"/>
      <c r="I115" s="670"/>
    </row>
    <row r="116" spans="1:9" x14ac:dyDescent="0.25">
      <c r="A116" s="706">
        <v>105</v>
      </c>
      <c r="B116" s="425" t="s">
        <v>223</v>
      </c>
      <c r="C116" s="412" t="s">
        <v>224</v>
      </c>
      <c r="D116" s="406"/>
      <c r="E116" s="687"/>
      <c r="F116" s="406"/>
      <c r="G116" s="670"/>
      <c r="H116" s="688"/>
      <c r="I116" s="670"/>
    </row>
    <row r="117" spans="1:9" ht="13.5" customHeight="1" x14ac:dyDescent="0.25">
      <c r="A117" s="706">
        <v>106</v>
      </c>
      <c r="B117" s="701" t="s">
        <v>225</v>
      </c>
      <c r="C117" s="412" t="s">
        <v>226</v>
      </c>
      <c r="D117" s="406"/>
      <c r="E117" s="687"/>
      <c r="F117" s="406"/>
      <c r="G117" s="670"/>
      <c r="H117" s="688"/>
      <c r="I117" s="670"/>
    </row>
    <row r="118" spans="1:9" ht="24" x14ac:dyDescent="0.25">
      <c r="A118" s="706">
        <v>107</v>
      </c>
      <c r="B118" s="701" t="s">
        <v>227</v>
      </c>
      <c r="C118" s="412" t="s">
        <v>228</v>
      </c>
      <c r="D118" s="406"/>
      <c r="E118" s="687"/>
      <c r="F118" s="406"/>
      <c r="G118" s="670"/>
      <c r="H118" s="688"/>
      <c r="I118" s="670"/>
    </row>
    <row r="119" spans="1:9" x14ac:dyDescent="0.25">
      <c r="A119" s="706">
        <v>108</v>
      </c>
      <c r="B119" s="701" t="s">
        <v>229</v>
      </c>
      <c r="C119" s="412" t="s">
        <v>230</v>
      </c>
      <c r="D119" s="406"/>
      <c r="E119" s="687"/>
      <c r="F119" s="406"/>
      <c r="G119" s="670"/>
      <c r="H119" s="688"/>
      <c r="I119" s="670"/>
    </row>
    <row r="120" spans="1:9" ht="12" customHeight="1" x14ac:dyDescent="0.25">
      <c r="A120" s="706">
        <v>109</v>
      </c>
      <c r="B120" s="425" t="s">
        <v>231</v>
      </c>
      <c r="C120" s="412" t="s">
        <v>232</v>
      </c>
      <c r="D120" s="406"/>
      <c r="E120" s="687"/>
      <c r="F120" s="406"/>
      <c r="G120" s="670"/>
      <c r="H120" s="688"/>
      <c r="I120" s="670"/>
    </row>
    <row r="121" spans="1:9" x14ac:dyDescent="0.25">
      <c r="A121" s="706">
        <v>110</v>
      </c>
      <c r="B121" s="425" t="s">
        <v>233</v>
      </c>
      <c r="C121" s="412" t="s">
        <v>234</v>
      </c>
      <c r="D121" s="406"/>
      <c r="E121" s="687"/>
      <c r="F121" s="406"/>
      <c r="G121" s="670"/>
      <c r="H121" s="688"/>
      <c r="I121" s="670"/>
    </row>
    <row r="122" spans="1:9" x14ac:dyDescent="0.25">
      <c r="A122" s="706">
        <v>111</v>
      </c>
      <c r="B122" s="696" t="s">
        <v>235</v>
      </c>
      <c r="C122" s="412" t="s">
        <v>236</v>
      </c>
      <c r="D122" s="406"/>
      <c r="E122" s="687"/>
      <c r="F122" s="406"/>
      <c r="G122" s="670"/>
      <c r="H122" s="688"/>
      <c r="I122" s="670"/>
    </row>
    <row r="123" spans="1:9" x14ac:dyDescent="0.25">
      <c r="A123" s="706">
        <v>112</v>
      </c>
      <c r="B123" s="701" t="s">
        <v>237</v>
      </c>
      <c r="C123" s="412" t="s">
        <v>238</v>
      </c>
      <c r="D123" s="406"/>
      <c r="E123" s="687"/>
      <c r="F123" s="406"/>
      <c r="G123" s="670"/>
      <c r="H123" s="688"/>
      <c r="I123" s="670"/>
    </row>
    <row r="124" spans="1:9" ht="14.25" customHeight="1" x14ac:dyDescent="0.25">
      <c r="A124" s="706">
        <v>113</v>
      </c>
      <c r="B124" s="701" t="s">
        <v>239</v>
      </c>
      <c r="C124" s="412" t="s">
        <v>240</v>
      </c>
      <c r="D124" s="406"/>
      <c r="E124" s="687"/>
      <c r="F124" s="406"/>
      <c r="G124" s="670"/>
      <c r="H124" s="688"/>
      <c r="I124" s="670"/>
    </row>
    <row r="125" spans="1:9" ht="14.25" customHeight="1" x14ac:dyDescent="0.25">
      <c r="A125" s="706">
        <v>114</v>
      </c>
      <c r="B125" s="701" t="s">
        <v>241</v>
      </c>
      <c r="C125" s="412" t="s">
        <v>242</v>
      </c>
      <c r="D125" s="406"/>
      <c r="E125" s="687"/>
      <c r="F125" s="406"/>
      <c r="G125" s="670"/>
      <c r="H125" s="688"/>
      <c r="I125" s="670"/>
    </row>
    <row r="126" spans="1:9" x14ac:dyDescent="0.25">
      <c r="A126" s="706">
        <v>115</v>
      </c>
      <c r="B126" s="707" t="s">
        <v>243</v>
      </c>
      <c r="C126" s="418" t="s">
        <v>385</v>
      </c>
      <c r="D126" s="406"/>
      <c r="E126" s="687"/>
      <c r="F126" s="406"/>
      <c r="G126" s="670"/>
      <c r="H126" s="688"/>
      <c r="I126" s="670"/>
    </row>
    <row r="127" spans="1:9" x14ac:dyDescent="0.25">
      <c r="A127" s="706">
        <v>116</v>
      </c>
      <c r="B127" s="425" t="s">
        <v>244</v>
      </c>
      <c r="C127" s="412" t="s">
        <v>654</v>
      </c>
      <c r="D127" s="406"/>
      <c r="E127" s="687"/>
      <c r="F127" s="406"/>
      <c r="G127" s="670"/>
      <c r="H127" s="688"/>
      <c r="I127" s="670"/>
    </row>
    <row r="128" spans="1:9" ht="12" customHeight="1" x14ac:dyDescent="0.25">
      <c r="A128" s="706">
        <v>117</v>
      </c>
      <c r="B128" s="425" t="s">
        <v>246</v>
      </c>
      <c r="C128" s="412" t="s">
        <v>247</v>
      </c>
      <c r="D128" s="406"/>
      <c r="E128" s="687"/>
      <c r="F128" s="406"/>
      <c r="G128" s="670"/>
      <c r="H128" s="688"/>
      <c r="I128" s="670"/>
    </row>
    <row r="129" spans="1:9" x14ac:dyDescent="0.25">
      <c r="A129" s="706">
        <v>118</v>
      </c>
      <c r="B129" s="425" t="s">
        <v>248</v>
      </c>
      <c r="C129" s="412" t="s">
        <v>249</v>
      </c>
      <c r="D129" s="406"/>
      <c r="E129" s="687"/>
      <c r="F129" s="406"/>
      <c r="G129" s="670"/>
      <c r="H129" s="688"/>
      <c r="I129" s="670"/>
    </row>
    <row r="130" spans="1:9" x14ac:dyDescent="0.25">
      <c r="A130" s="706">
        <v>119</v>
      </c>
      <c r="B130" s="425" t="s">
        <v>250</v>
      </c>
      <c r="C130" s="412" t="s">
        <v>251</v>
      </c>
      <c r="D130" s="406"/>
      <c r="E130" s="687"/>
      <c r="F130" s="406"/>
      <c r="G130" s="670"/>
      <c r="H130" s="688"/>
      <c r="I130" s="670"/>
    </row>
    <row r="131" spans="1:9" x14ac:dyDescent="0.25">
      <c r="A131" s="706">
        <v>120</v>
      </c>
      <c r="B131" s="407" t="s">
        <v>252</v>
      </c>
      <c r="C131" s="427" t="s">
        <v>253</v>
      </c>
      <c r="D131" s="406"/>
      <c r="E131" s="687"/>
      <c r="F131" s="406"/>
      <c r="G131" s="670"/>
      <c r="H131" s="688"/>
      <c r="I131" s="670"/>
    </row>
    <row r="132" spans="1:9" x14ac:dyDescent="0.25">
      <c r="A132" s="706">
        <v>121</v>
      </c>
      <c r="B132" s="701" t="s">
        <v>254</v>
      </c>
      <c r="C132" s="412" t="s">
        <v>255</v>
      </c>
      <c r="D132" s="406"/>
      <c r="E132" s="687"/>
      <c r="F132" s="406"/>
      <c r="G132" s="670"/>
      <c r="H132" s="688"/>
      <c r="I132" s="670"/>
    </row>
    <row r="133" spans="1:9" x14ac:dyDescent="0.25">
      <c r="A133" s="706">
        <v>122</v>
      </c>
      <c r="B133" s="425" t="s">
        <v>256</v>
      </c>
      <c r="C133" s="412" t="s">
        <v>257</v>
      </c>
      <c r="D133" s="406"/>
      <c r="E133" s="687"/>
      <c r="F133" s="406"/>
      <c r="G133" s="670"/>
      <c r="H133" s="688"/>
      <c r="I133" s="670"/>
    </row>
    <row r="134" spans="1:9" x14ac:dyDescent="0.25">
      <c r="A134" s="706">
        <v>123</v>
      </c>
      <c r="B134" s="701" t="s">
        <v>258</v>
      </c>
      <c r="C134" s="412" t="s">
        <v>259</v>
      </c>
      <c r="D134" s="406"/>
      <c r="E134" s="687"/>
      <c r="F134" s="406"/>
      <c r="G134" s="670"/>
      <c r="H134" s="688"/>
      <c r="I134" s="670"/>
    </row>
    <row r="135" spans="1:9" x14ac:dyDescent="0.25">
      <c r="A135" s="706">
        <v>124</v>
      </c>
      <c r="B135" s="425" t="s">
        <v>260</v>
      </c>
      <c r="C135" s="412" t="s">
        <v>261</v>
      </c>
      <c r="D135" s="406"/>
      <c r="E135" s="687"/>
      <c r="F135" s="406"/>
      <c r="G135" s="670"/>
      <c r="H135" s="688"/>
      <c r="I135" s="670"/>
    </row>
    <row r="136" spans="1:9" x14ac:dyDescent="0.25">
      <c r="A136" s="706">
        <v>125</v>
      </c>
      <c r="B136" s="425" t="s">
        <v>262</v>
      </c>
      <c r="C136" s="412" t="s">
        <v>263</v>
      </c>
      <c r="D136" s="406"/>
      <c r="E136" s="687"/>
      <c r="F136" s="406"/>
      <c r="G136" s="670"/>
      <c r="H136" s="688"/>
      <c r="I136" s="670"/>
    </row>
    <row r="137" spans="1:9" x14ac:dyDescent="0.25">
      <c r="A137" s="706">
        <v>126</v>
      </c>
      <c r="B137" s="701" t="s">
        <v>264</v>
      </c>
      <c r="C137" s="412" t="s">
        <v>265</v>
      </c>
      <c r="D137" s="406"/>
      <c r="E137" s="687"/>
      <c r="F137" s="406"/>
      <c r="G137" s="670"/>
      <c r="H137" s="688"/>
      <c r="I137" s="670"/>
    </row>
    <row r="138" spans="1:9" x14ac:dyDescent="0.25">
      <c r="A138" s="706">
        <v>127</v>
      </c>
      <c r="B138" s="425" t="s">
        <v>266</v>
      </c>
      <c r="C138" s="412" t="s">
        <v>267</v>
      </c>
      <c r="D138" s="406"/>
      <c r="E138" s="687"/>
      <c r="F138" s="406"/>
      <c r="G138" s="670"/>
      <c r="H138" s="688"/>
      <c r="I138" s="670"/>
    </row>
    <row r="139" spans="1:9" x14ac:dyDescent="0.25">
      <c r="A139" s="706">
        <v>128</v>
      </c>
      <c r="B139" s="701" t="s">
        <v>268</v>
      </c>
      <c r="C139" s="412" t="s">
        <v>269</v>
      </c>
      <c r="D139" s="406"/>
      <c r="E139" s="687"/>
      <c r="F139" s="406"/>
      <c r="G139" s="670"/>
      <c r="H139" s="688"/>
      <c r="I139" s="670"/>
    </row>
    <row r="140" spans="1:9" x14ac:dyDescent="0.25">
      <c r="A140" s="706">
        <v>129</v>
      </c>
      <c r="B140" s="701" t="s">
        <v>270</v>
      </c>
      <c r="C140" s="412" t="s">
        <v>271</v>
      </c>
      <c r="D140" s="406"/>
      <c r="E140" s="687"/>
      <c r="F140" s="406"/>
      <c r="G140" s="670"/>
      <c r="H140" s="688"/>
      <c r="I140" s="670"/>
    </row>
    <row r="141" spans="1:9" x14ac:dyDescent="0.25">
      <c r="A141" s="706">
        <v>130</v>
      </c>
      <c r="B141" s="425" t="s">
        <v>272</v>
      </c>
      <c r="C141" s="412" t="s">
        <v>273</v>
      </c>
      <c r="D141" s="406"/>
      <c r="E141" s="687"/>
      <c r="F141" s="406"/>
      <c r="G141" s="670"/>
      <c r="H141" s="688"/>
      <c r="I141" s="670"/>
    </row>
    <row r="142" spans="1:9" x14ac:dyDescent="0.25">
      <c r="A142" s="706">
        <v>131</v>
      </c>
      <c r="B142" s="425" t="s">
        <v>274</v>
      </c>
      <c r="C142" s="412" t="s">
        <v>275</v>
      </c>
      <c r="D142" s="406"/>
      <c r="E142" s="687"/>
      <c r="F142" s="406"/>
      <c r="G142" s="670"/>
      <c r="H142" s="688"/>
      <c r="I142" s="670"/>
    </row>
    <row r="143" spans="1:9" x14ac:dyDescent="0.25">
      <c r="A143" s="706">
        <v>132</v>
      </c>
      <c r="B143" s="425" t="s">
        <v>276</v>
      </c>
      <c r="C143" s="412" t="s">
        <v>277</v>
      </c>
      <c r="D143" s="406"/>
      <c r="E143" s="687"/>
      <c r="F143" s="406"/>
      <c r="G143" s="670"/>
      <c r="H143" s="688"/>
      <c r="I143" s="670"/>
    </row>
    <row r="144" spans="1:9" x14ac:dyDescent="0.25">
      <c r="A144" s="706">
        <v>133</v>
      </c>
      <c r="B144" s="425" t="s">
        <v>278</v>
      </c>
      <c r="C144" s="412" t="s">
        <v>279</v>
      </c>
      <c r="D144" s="406"/>
      <c r="E144" s="687"/>
      <c r="F144" s="406"/>
      <c r="G144" s="670"/>
      <c r="H144" s="688"/>
      <c r="I144" s="670"/>
    </row>
    <row r="145" spans="1:9" x14ac:dyDescent="0.25">
      <c r="A145" s="706">
        <v>134</v>
      </c>
      <c r="B145" s="425" t="s">
        <v>280</v>
      </c>
      <c r="C145" s="412" t="s">
        <v>281</v>
      </c>
      <c r="D145" s="406"/>
      <c r="E145" s="687"/>
      <c r="F145" s="406"/>
      <c r="G145" s="670"/>
      <c r="H145" s="688"/>
      <c r="I145" s="670"/>
    </row>
    <row r="146" spans="1:9" x14ac:dyDescent="0.25">
      <c r="A146" s="706">
        <v>135</v>
      </c>
      <c r="B146" s="701" t="s">
        <v>282</v>
      </c>
      <c r="C146" s="412" t="s">
        <v>283</v>
      </c>
      <c r="D146" s="406"/>
      <c r="E146" s="687"/>
      <c r="F146" s="406"/>
      <c r="G146" s="670"/>
      <c r="H146" s="688"/>
      <c r="I146" s="670"/>
    </row>
    <row r="147" spans="1:9" x14ac:dyDescent="0.25">
      <c r="A147" s="706">
        <v>136</v>
      </c>
      <c r="B147" s="428" t="s">
        <v>284</v>
      </c>
      <c r="C147" s="697" t="s">
        <v>285</v>
      </c>
      <c r="D147" s="406"/>
      <c r="E147" s="687"/>
      <c r="F147" s="406"/>
      <c r="G147" s="670"/>
      <c r="H147" s="688"/>
      <c r="I147" s="670"/>
    </row>
    <row r="148" spans="1:9" x14ac:dyDescent="0.25">
      <c r="A148" s="706">
        <v>137</v>
      </c>
      <c r="B148" s="425" t="s">
        <v>387</v>
      </c>
      <c r="C148" s="427" t="s">
        <v>388</v>
      </c>
      <c r="D148" s="406"/>
      <c r="E148" s="687"/>
      <c r="F148" s="406"/>
      <c r="G148" s="670"/>
      <c r="H148" s="688"/>
      <c r="I148" s="670"/>
    </row>
    <row r="149" spans="1:9" x14ac:dyDescent="0.25">
      <c r="A149" s="706">
        <v>138</v>
      </c>
      <c r="B149" s="426" t="s">
        <v>389</v>
      </c>
      <c r="C149" s="427" t="s">
        <v>817</v>
      </c>
      <c r="D149" s="406">
        <v>26100</v>
      </c>
      <c r="E149" s="687">
        <v>4350</v>
      </c>
      <c r="F149" s="406">
        <v>2054</v>
      </c>
      <c r="G149" s="670">
        <v>65736</v>
      </c>
      <c r="H149" s="688">
        <v>2968</v>
      </c>
      <c r="I149" s="670">
        <v>62310</v>
      </c>
    </row>
    <row r="150" spans="1:9" x14ac:dyDescent="0.25">
      <c r="A150" s="706">
        <v>139</v>
      </c>
      <c r="B150" s="428" t="s">
        <v>391</v>
      </c>
      <c r="C150" s="698" t="s">
        <v>392</v>
      </c>
      <c r="D150" s="406"/>
      <c r="E150" s="687"/>
      <c r="F150" s="406"/>
      <c r="G150" s="670"/>
      <c r="H150" s="688"/>
      <c r="I150" s="670"/>
    </row>
    <row r="151" spans="1:9" ht="12.75" thickBot="1" x14ac:dyDescent="0.3">
      <c r="A151" s="430">
        <v>140</v>
      </c>
      <c r="B151" s="431" t="s">
        <v>393</v>
      </c>
      <c r="C151" s="432" t="s">
        <v>394</v>
      </c>
      <c r="D151" s="662"/>
      <c r="E151" s="692"/>
      <c r="F151" s="662"/>
      <c r="G151" s="693"/>
      <c r="H151" s="694"/>
      <c r="I151" s="693"/>
    </row>
    <row r="152" spans="1:9" s="154" customFormat="1" x14ac:dyDescent="0.25">
      <c r="A152" s="1228" t="s">
        <v>818</v>
      </c>
      <c r="B152" s="1229"/>
      <c r="C152" s="1229"/>
    </row>
    <row r="153" spans="1:9" s="154" customFormat="1" x14ac:dyDescent="0.25">
      <c r="A153" s="1230"/>
      <c r="B153" s="1230"/>
      <c r="C153" s="1230"/>
    </row>
    <row r="154" spans="1:9" s="154" customFormat="1" x14ac:dyDescent="0.25">
      <c r="C154" s="695"/>
    </row>
  </sheetData>
  <mergeCells count="14">
    <mergeCell ref="A5:C5"/>
    <mergeCell ref="A152:C153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53"/>
  <sheetViews>
    <sheetView zoomScale="90" zoomScaleNormal="90" workbookViewId="0">
      <pane xSplit="3" ySplit="7" topLeftCell="D128" activePane="bottomRight" state="frozen"/>
      <selection pane="topRight" activeCell="D1" sqref="D1"/>
      <selection pane="bottomLeft" activeCell="A8" sqref="A8"/>
      <selection pane="bottomRight" activeCell="C166" sqref="C166"/>
    </sheetView>
  </sheetViews>
  <sheetFormatPr defaultRowHeight="12" x14ac:dyDescent="0.25"/>
  <cols>
    <col min="1" max="1" width="4" style="147" customWidth="1"/>
    <col min="2" max="2" width="8.140625" style="147" customWidth="1"/>
    <col min="3" max="3" width="38.28515625" style="148" customWidth="1"/>
    <col min="4" max="4" width="14.85546875" style="148" customWidth="1"/>
    <col min="5" max="5" width="15.85546875" style="148" customWidth="1"/>
    <col min="6" max="7" width="10.28515625" style="154" customWidth="1"/>
    <col min="8" max="8" width="9.140625" style="147" customWidth="1"/>
    <col min="9" max="9" width="10.28515625" style="147" customWidth="1"/>
    <col min="10" max="16384" width="9.140625" style="147"/>
  </cols>
  <sheetData>
    <row r="1" spans="1:9" ht="15.75" x14ac:dyDescent="0.25">
      <c r="A1" s="1162" t="s">
        <v>627</v>
      </c>
      <c r="B1" s="1162"/>
      <c r="C1" s="1162"/>
      <c r="D1" s="1162"/>
      <c r="E1" s="1162"/>
      <c r="F1" s="1162"/>
      <c r="G1" s="1234"/>
      <c r="H1" s="1234"/>
      <c r="I1" s="1234"/>
    </row>
    <row r="2" spans="1:9" ht="12.75" thickBot="1" x14ac:dyDescent="0.3"/>
    <row r="3" spans="1:9" s="664" customFormat="1" ht="25.5" customHeight="1" x14ac:dyDescent="0.25">
      <c r="A3" s="1202" t="s">
        <v>0</v>
      </c>
      <c r="B3" s="1205" t="s">
        <v>603</v>
      </c>
      <c r="C3" s="1235" t="s">
        <v>292</v>
      </c>
      <c r="D3" s="1237" t="s">
        <v>814</v>
      </c>
      <c r="E3" s="1238"/>
      <c r="F3" s="1239" t="s">
        <v>623</v>
      </c>
      <c r="G3" s="1240"/>
      <c r="H3" s="1241" t="s">
        <v>624</v>
      </c>
      <c r="I3" s="1242"/>
    </row>
    <row r="4" spans="1:9" s="664" customFormat="1" ht="40.5" customHeight="1" x14ac:dyDescent="0.25">
      <c r="A4" s="1203"/>
      <c r="B4" s="1206"/>
      <c r="C4" s="1236"/>
      <c r="D4" s="645" t="s">
        <v>289</v>
      </c>
      <c r="E4" s="708" t="s">
        <v>626</v>
      </c>
      <c r="F4" s="646" t="s">
        <v>631</v>
      </c>
      <c r="G4" s="647" t="s">
        <v>609</v>
      </c>
      <c r="H4" s="645" t="s">
        <v>610</v>
      </c>
      <c r="I4" s="647" t="s">
        <v>611</v>
      </c>
    </row>
    <row r="5" spans="1:9" s="155" customFormat="1" x14ac:dyDescent="0.25">
      <c r="A5" s="1225" t="s">
        <v>6</v>
      </c>
      <c r="B5" s="1226"/>
      <c r="C5" s="1246"/>
      <c r="D5" s="665">
        <f>SUM(D6:D8)</f>
        <v>428173</v>
      </c>
      <c r="E5" s="666">
        <f t="shared" ref="E5:I5" si="0">SUM(E6:E8)</f>
        <v>94934</v>
      </c>
      <c r="F5" s="667">
        <f t="shared" si="0"/>
        <v>19515</v>
      </c>
      <c r="G5" s="668">
        <f t="shared" si="0"/>
        <v>267859</v>
      </c>
      <c r="H5" s="665">
        <f t="shared" si="0"/>
        <v>1525</v>
      </c>
      <c r="I5" s="669">
        <f t="shared" si="0"/>
        <v>18290</v>
      </c>
    </row>
    <row r="6" spans="1:9" s="155" customFormat="1" x14ac:dyDescent="0.25">
      <c r="A6" s="1231" t="s">
        <v>14</v>
      </c>
      <c r="B6" s="1232"/>
      <c r="C6" s="1247"/>
      <c r="D6" s="649"/>
      <c r="E6" s="151"/>
      <c r="F6" s="406"/>
      <c r="G6" s="670"/>
      <c r="H6" s="649"/>
      <c r="I6" s="671"/>
    </row>
    <row r="7" spans="1:9" s="155" customFormat="1" x14ac:dyDescent="0.25">
      <c r="A7" s="1231" t="s">
        <v>445</v>
      </c>
      <c r="B7" s="1232"/>
      <c r="C7" s="1247"/>
      <c r="D7" s="649"/>
      <c r="E7" s="151"/>
      <c r="F7" s="406"/>
      <c r="G7" s="670"/>
      <c r="H7" s="649"/>
      <c r="I7" s="671"/>
    </row>
    <row r="8" spans="1:9" x14ac:dyDescent="0.25">
      <c r="A8" s="1231" t="s">
        <v>15</v>
      </c>
      <c r="B8" s="1232"/>
      <c r="C8" s="1247"/>
      <c r="D8" s="672">
        <f>SUM(D9:D151)-D91</f>
        <v>428173</v>
      </c>
      <c r="E8" s="152">
        <f t="shared" ref="E8" si="1">SUM(E9:E151)-E91</f>
        <v>94934</v>
      </c>
      <c r="F8" s="673">
        <f t="shared" ref="F8:I8" si="2">SUM(F9:F151)-F91</f>
        <v>19515</v>
      </c>
      <c r="G8" s="674">
        <f t="shared" si="2"/>
        <v>267859</v>
      </c>
      <c r="H8" s="672">
        <f t="shared" si="2"/>
        <v>1525</v>
      </c>
      <c r="I8" s="528">
        <f t="shared" si="2"/>
        <v>18290</v>
      </c>
    </row>
    <row r="9" spans="1:9" x14ac:dyDescent="0.25">
      <c r="A9" s="706">
        <v>1</v>
      </c>
      <c r="B9" s="408" t="s">
        <v>16</v>
      </c>
      <c r="C9" s="648" t="s">
        <v>17</v>
      </c>
      <c r="D9" s="649">
        <v>2498</v>
      </c>
      <c r="E9" s="151">
        <v>367</v>
      </c>
      <c r="F9" s="406"/>
      <c r="G9" s="796"/>
      <c r="H9" s="650"/>
      <c r="I9" s="671"/>
    </row>
    <row r="10" spans="1:9" x14ac:dyDescent="0.25">
      <c r="A10" s="706">
        <v>2</v>
      </c>
      <c r="B10" s="408" t="s">
        <v>18</v>
      </c>
      <c r="C10" s="648" t="s">
        <v>19</v>
      </c>
      <c r="D10" s="649">
        <v>2948</v>
      </c>
      <c r="E10" s="151">
        <v>374</v>
      </c>
      <c r="F10" s="406"/>
      <c r="G10" s="796"/>
      <c r="H10" s="650"/>
      <c r="I10" s="671"/>
    </row>
    <row r="11" spans="1:9" x14ac:dyDescent="0.25">
      <c r="A11" s="706">
        <v>3</v>
      </c>
      <c r="B11" s="410" t="s">
        <v>20</v>
      </c>
      <c r="C11" s="651" t="s">
        <v>21</v>
      </c>
      <c r="D11" s="649">
        <v>4833</v>
      </c>
      <c r="E11" s="151">
        <v>2230</v>
      </c>
      <c r="F11" s="406">
        <v>323</v>
      </c>
      <c r="G11" s="796">
        <v>3878</v>
      </c>
      <c r="H11" s="650">
        <v>155</v>
      </c>
      <c r="I11" s="671">
        <v>1860</v>
      </c>
    </row>
    <row r="12" spans="1:9" x14ac:dyDescent="0.25">
      <c r="A12" s="706">
        <v>4</v>
      </c>
      <c r="B12" s="408" t="s">
        <v>22</v>
      </c>
      <c r="C12" s="648" t="s">
        <v>23</v>
      </c>
      <c r="D12" s="649">
        <v>3320</v>
      </c>
      <c r="E12" s="151">
        <v>73</v>
      </c>
      <c r="F12" s="406"/>
      <c r="G12" s="796"/>
      <c r="H12" s="650"/>
      <c r="I12" s="671"/>
    </row>
    <row r="13" spans="1:9" ht="12.75" customHeight="1" x14ac:dyDescent="0.25">
      <c r="A13" s="706">
        <v>5</v>
      </c>
      <c r="B13" s="408" t="s">
        <v>24</v>
      </c>
      <c r="C13" s="648" t="s">
        <v>25</v>
      </c>
      <c r="D13" s="649">
        <v>3368</v>
      </c>
      <c r="E13" s="151">
        <v>73</v>
      </c>
      <c r="F13" s="406"/>
      <c r="G13" s="796"/>
      <c r="H13" s="650"/>
      <c r="I13" s="671"/>
    </row>
    <row r="14" spans="1:9" x14ac:dyDescent="0.25">
      <c r="A14" s="706">
        <v>6</v>
      </c>
      <c r="B14" s="410" t="s">
        <v>26</v>
      </c>
      <c r="C14" s="651" t="s">
        <v>27</v>
      </c>
      <c r="D14" s="649">
        <v>11007</v>
      </c>
      <c r="E14" s="151">
        <v>5559</v>
      </c>
      <c r="F14" s="406">
        <v>923</v>
      </c>
      <c r="G14" s="796">
        <v>11080</v>
      </c>
      <c r="H14" s="650">
        <v>103</v>
      </c>
      <c r="I14" s="671">
        <v>1240</v>
      </c>
    </row>
    <row r="15" spans="1:9" x14ac:dyDescent="0.25">
      <c r="A15" s="706">
        <v>7</v>
      </c>
      <c r="B15" s="701" t="s">
        <v>28</v>
      </c>
      <c r="C15" s="652" t="s">
        <v>29</v>
      </c>
      <c r="D15" s="649">
        <v>7439</v>
      </c>
      <c r="E15" s="151">
        <v>1143</v>
      </c>
      <c r="F15" s="406"/>
      <c r="G15" s="796"/>
      <c r="H15" s="650"/>
      <c r="I15" s="671"/>
    </row>
    <row r="16" spans="1:9" x14ac:dyDescent="0.25">
      <c r="A16" s="706">
        <v>8</v>
      </c>
      <c r="B16" s="410" t="s">
        <v>30</v>
      </c>
      <c r="C16" s="651" t="s">
        <v>31</v>
      </c>
      <c r="D16" s="649">
        <v>7085</v>
      </c>
      <c r="E16" s="151">
        <v>52</v>
      </c>
      <c r="F16" s="406"/>
      <c r="G16" s="796"/>
      <c r="H16" s="650"/>
      <c r="I16" s="671"/>
    </row>
    <row r="17" spans="1:9" x14ac:dyDescent="0.25">
      <c r="A17" s="706">
        <v>9</v>
      </c>
      <c r="B17" s="410" t="s">
        <v>32</v>
      </c>
      <c r="C17" s="651" t="s">
        <v>33</v>
      </c>
      <c r="D17" s="649">
        <v>3184</v>
      </c>
      <c r="E17" s="151">
        <v>490</v>
      </c>
      <c r="F17" s="406">
        <v>324</v>
      </c>
      <c r="G17" s="796">
        <v>2493</v>
      </c>
      <c r="H17" s="650"/>
      <c r="I17" s="671"/>
    </row>
    <row r="18" spans="1:9" x14ac:dyDescent="0.25">
      <c r="A18" s="706">
        <v>10</v>
      </c>
      <c r="B18" s="410" t="s">
        <v>34</v>
      </c>
      <c r="C18" s="651" t="s">
        <v>35</v>
      </c>
      <c r="D18" s="649"/>
      <c r="E18" s="151"/>
      <c r="F18" s="406"/>
      <c r="G18" s="796"/>
      <c r="H18" s="650"/>
      <c r="I18" s="671"/>
    </row>
    <row r="19" spans="1:9" x14ac:dyDescent="0.25">
      <c r="A19" s="706">
        <v>11</v>
      </c>
      <c r="B19" s="410" t="s">
        <v>36</v>
      </c>
      <c r="C19" s="651" t="s">
        <v>37</v>
      </c>
      <c r="D19" s="649">
        <v>3362</v>
      </c>
      <c r="E19" s="151">
        <v>73</v>
      </c>
      <c r="F19" s="406"/>
      <c r="G19" s="796"/>
      <c r="H19" s="650"/>
      <c r="I19" s="671"/>
    </row>
    <row r="20" spans="1:9" x14ac:dyDescent="0.25">
      <c r="A20" s="706">
        <v>12</v>
      </c>
      <c r="B20" s="410" t="s">
        <v>38</v>
      </c>
      <c r="C20" s="651" t="s">
        <v>39</v>
      </c>
      <c r="D20" s="649">
        <v>5510</v>
      </c>
      <c r="E20" s="151">
        <v>850</v>
      </c>
      <c r="F20" s="406"/>
      <c r="G20" s="796"/>
      <c r="H20" s="650"/>
      <c r="I20" s="671"/>
    </row>
    <row r="21" spans="1:9" ht="13.5" customHeight="1" x14ac:dyDescent="0.25">
      <c r="A21" s="706">
        <v>13</v>
      </c>
      <c r="B21" s="413" t="s">
        <v>40</v>
      </c>
      <c r="C21" s="653" t="s">
        <v>41</v>
      </c>
      <c r="D21" s="649">
        <v>0</v>
      </c>
      <c r="E21" s="151">
        <v>0</v>
      </c>
      <c r="F21" s="406"/>
      <c r="G21" s="796"/>
      <c r="H21" s="650"/>
      <c r="I21" s="671"/>
    </row>
    <row r="22" spans="1:9" ht="13.5" customHeight="1" x14ac:dyDescent="0.25">
      <c r="A22" s="706">
        <v>14</v>
      </c>
      <c r="B22" s="415" t="s">
        <v>42</v>
      </c>
      <c r="C22" s="654" t="s">
        <v>43</v>
      </c>
      <c r="D22" s="649">
        <v>0</v>
      </c>
      <c r="E22" s="151">
        <v>0</v>
      </c>
      <c r="F22" s="406"/>
      <c r="G22" s="796"/>
      <c r="H22" s="650"/>
      <c r="I22" s="671"/>
    </row>
    <row r="23" spans="1:9" x14ac:dyDescent="0.25">
      <c r="A23" s="706">
        <v>15</v>
      </c>
      <c r="B23" s="410" t="s">
        <v>44</v>
      </c>
      <c r="C23" s="651" t="s">
        <v>45</v>
      </c>
      <c r="D23" s="649">
        <v>4477</v>
      </c>
      <c r="E23" s="151">
        <v>73</v>
      </c>
      <c r="F23" s="406"/>
      <c r="G23" s="796"/>
      <c r="H23" s="650"/>
      <c r="I23" s="671"/>
    </row>
    <row r="24" spans="1:9" x14ac:dyDescent="0.25">
      <c r="A24" s="706">
        <v>16</v>
      </c>
      <c r="B24" s="410" t="s">
        <v>46</v>
      </c>
      <c r="C24" s="651" t="s">
        <v>47</v>
      </c>
      <c r="D24" s="649">
        <v>6176</v>
      </c>
      <c r="E24" s="151">
        <v>73</v>
      </c>
      <c r="F24" s="406">
        <v>684</v>
      </c>
      <c r="G24" s="796">
        <v>5263</v>
      </c>
      <c r="H24" s="650"/>
      <c r="I24" s="671"/>
    </row>
    <row r="25" spans="1:9" x14ac:dyDescent="0.25">
      <c r="A25" s="706">
        <v>17</v>
      </c>
      <c r="B25" s="410" t="s">
        <v>48</v>
      </c>
      <c r="C25" s="651" t="s">
        <v>49</v>
      </c>
      <c r="D25" s="649">
        <v>6752</v>
      </c>
      <c r="E25" s="151">
        <v>1138</v>
      </c>
      <c r="F25" s="406">
        <v>360</v>
      </c>
      <c r="G25" s="796">
        <v>2770</v>
      </c>
      <c r="H25" s="650"/>
      <c r="I25" s="671"/>
    </row>
    <row r="26" spans="1:9" x14ac:dyDescent="0.25">
      <c r="A26" s="706">
        <v>18</v>
      </c>
      <c r="B26" s="410" t="s">
        <v>50</v>
      </c>
      <c r="C26" s="651" t="s">
        <v>51</v>
      </c>
      <c r="D26" s="649">
        <v>8192</v>
      </c>
      <c r="E26" s="151">
        <v>4059</v>
      </c>
      <c r="F26" s="406">
        <v>577</v>
      </c>
      <c r="G26" s="796">
        <v>6925</v>
      </c>
      <c r="H26" s="650"/>
      <c r="I26" s="671"/>
    </row>
    <row r="27" spans="1:9" x14ac:dyDescent="0.25">
      <c r="A27" s="706">
        <v>19</v>
      </c>
      <c r="B27" s="408" t="s">
        <v>52</v>
      </c>
      <c r="C27" s="648" t="s">
        <v>53</v>
      </c>
      <c r="D27" s="649">
        <v>2484</v>
      </c>
      <c r="E27" s="151">
        <v>58</v>
      </c>
      <c r="F27" s="406"/>
      <c r="G27" s="796"/>
      <c r="H27" s="650"/>
      <c r="I27" s="671"/>
    </row>
    <row r="28" spans="1:9" x14ac:dyDescent="0.25">
      <c r="A28" s="706">
        <v>20</v>
      </c>
      <c r="B28" s="408" t="s">
        <v>54</v>
      </c>
      <c r="C28" s="648" t="s">
        <v>55</v>
      </c>
      <c r="D28" s="649">
        <v>2202</v>
      </c>
      <c r="E28" s="151">
        <v>73</v>
      </c>
      <c r="F28" s="406"/>
      <c r="G28" s="796"/>
      <c r="H28" s="650"/>
      <c r="I28" s="671"/>
    </row>
    <row r="29" spans="1:9" x14ac:dyDescent="0.25">
      <c r="A29" s="706">
        <v>21</v>
      </c>
      <c r="B29" s="408" t="s">
        <v>56</v>
      </c>
      <c r="C29" s="648" t="s">
        <v>57</v>
      </c>
      <c r="D29" s="649">
        <v>5681</v>
      </c>
      <c r="E29" s="151">
        <v>2750</v>
      </c>
      <c r="F29" s="406">
        <v>462</v>
      </c>
      <c r="G29" s="796">
        <v>5540</v>
      </c>
      <c r="H29" s="650"/>
      <c r="I29" s="671"/>
    </row>
    <row r="30" spans="1:9" x14ac:dyDescent="0.25">
      <c r="A30" s="706">
        <v>22</v>
      </c>
      <c r="B30" s="408" t="s">
        <v>58</v>
      </c>
      <c r="C30" s="648" t="s">
        <v>59</v>
      </c>
      <c r="D30" s="649">
        <v>3950</v>
      </c>
      <c r="E30" s="151">
        <v>1432</v>
      </c>
      <c r="F30" s="406">
        <v>1154</v>
      </c>
      <c r="G30" s="796">
        <v>13850</v>
      </c>
      <c r="H30" s="650"/>
      <c r="I30" s="671"/>
    </row>
    <row r="31" spans="1:9" x14ac:dyDescent="0.25">
      <c r="A31" s="706">
        <v>23</v>
      </c>
      <c r="B31" s="410" t="s">
        <v>60</v>
      </c>
      <c r="C31" s="651" t="s">
        <v>61</v>
      </c>
      <c r="D31" s="649"/>
      <c r="E31" s="151"/>
      <c r="F31" s="406"/>
      <c r="G31" s="796"/>
      <c r="H31" s="650"/>
      <c r="I31" s="671"/>
    </row>
    <row r="32" spans="1:9" x14ac:dyDescent="0.25">
      <c r="A32" s="706">
        <v>24</v>
      </c>
      <c r="B32" s="410" t="s">
        <v>62</v>
      </c>
      <c r="C32" s="651" t="s">
        <v>63</v>
      </c>
      <c r="D32" s="649"/>
      <c r="E32" s="151"/>
      <c r="F32" s="406"/>
      <c r="G32" s="796"/>
      <c r="H32" s="650"/>
      <c r="I32" s="671"/>
    </row>
    <row r="33" spans="1:9" ht="24" x14ac:dyDescent="0.25">
      <c r="A33" s="706">
        <v>25</v>
      </c>
      <c r="B33" s="410" t="s">
        <v>64</v>
      </c>
      <c r="C33" s="651" t="s">
        <v>65</v>
      </c>
      <c r="D33" s="531"/>
      <c r="E33" s="671"/>
      <c r="F33" s="688"/>
      <c r="G33" s="796"/>
      <c r="H33" s="650"/>
      <c r="I33" s="671"/>
    </row>
    <row r="34" spans="1:9" ht="12.75" x14ac:dyDescent="0.25">
      <c r="A34" s="706">
        <v>26</v>
      </c>
      <c r="B34" s="408" t="s">
        <v>66</v>
      </c>
      <c r="C34" s="652" t="s">
        <v>67</v>
      </c>
      <c r="D34" s="798">
        <f>0+2742</f>
        <v>2742</v>
      </c>
      <c r="E34" s="799">
        <f>0+42</f>
        <v>42</v>
      </c>
      <c r="F34" s="688"/>
      <c r="G34" s="796"/>
      <c r="H34" s="650"/>
      <c r="I34" s="671"/>
    </row>
    <row r="35" spans="1:9" ht="12.75" x14ac:dyDescent="0.25">
      <c r="A35" s="706">
        <v>27</v>
      </c>
      <c r="B35" s="410" t="s">
        <v>68</v>
      </c>
      <c r="C35" s="651" t="s">
        <v>69</v>
      </c>
      <c r="D35" s="798">
        <f>4701-2742</f>
        <v>1959</v>
      </c>
      <c r="E35" s="799">
        <f>72-42</f>
        <v>30</v>
      </c>
      <c r="F35" s="688"/>
      <c r="G35" s="796"/>
      <c r="H35" s="650"/>
      <c r="I35" s="671"/>
    </row>
    <row r="36" spans="1:9" x14ac:dyDescent="0.25">
      <c r="A36" s="706">
        <v>28</v>
      </c>
      <c r="B36" s="410" t="s">
        <v>70</v>
      </c>
      <c r="C36" s="651" t="s">
        <v>71</v>
      </c>
      <c r="D36" s="531"/>
      <c r="E36" s="671"/>
      <c r="F36" s="688"/>
      <c r="G36" s="796"/>
      <c r="H36" s="650"/>
      <c r="I36" s="671"/>
    </row>
    <row r="37" spans="1:9" x14ac:dyDescent="0.25">
      <c r="A37" s="706">
        <v>29</v>
      </c>
      <c r="B37" s="408" t="s">
        <v>72</v>
      </c>
      <c r="C37" s="648" t="s">
        <v>73</v>
      </c>
      <c r="D37" s="531"/>
      <c r="E37" s="671"/>
      <c r="F37" s="688"/>
      <c r="G37" s="796"/>
      <c r="H37" s="650"/>
      <c r="I37" s="671"/>
    </row>
    <row r="38" spans="1:9" ht="24" x14ac:dyDescent="0.25">
      <c r="A38" s="706">
        <v>30</v>
      </c>
      <c r="B38" s="408" t="s">
        <v>74</v>
      </c>
      <c r="C38" s="652" t="s">
        <v>377</v>
      </c>
      <c r="D38" s="649"/>
      <c r="E38" s="151"/>
      <c r="F38" s="406"/>
      <c r="G38" s="796"/>
      <c r="H38" s="650"/>
      <c r="I38" s="671"/>
    </row>
    <row r="39" spans="1:9" x14ac:dyDescent="0.25">
      <c r="A39" s="706">
        <v>31</v>
      </c>
      <c r="B39" s="408" t="s">
        <v>75</v>
      </c>
      <c r="C39" s="648" t="s">
        <v>76</v>
      </c>
      <c r="D39" s="649"/>
      <c r="E39" s="151"/>
      <c r="F39" s="406"/>
      <c r="G39" s="796"/>
      <c r="H39" s="650"/>
      <c r="I39" s="671"/>
    </row>
    <row r="40" spans="1:9" x14ac:dyDescent="0.25">
      <c r="A40" s="706">
        <v>32</v>
      </c>
      <c r="B40" s="410" t="s">
        <v>77</v>
      </c>
      <c r="C40" s="651" t="s">
        <v>78</v>
      </c>
      <c r="D40" s="649">
        <v>13560</v>
      </c>
      <c r="E40" s="151">
        <v>3892</v>
      </c>
      <c r="F40" s="406">
        <v>594</v>
      </c>
      <c r="G40" s="796">
        <v>8310</v>
      </c>
      <c r="H40" s="650"/>
      <c r="I40" s="671"/>
    </row>
    <row r="41" spans="1:9" x14ac:dyDescent="0.25">
      <c r="A41" s="706">
        <v>33</v>
      </c>
      <c r="B41" s="408" t="s">
        <v>79</v>
      </c>
      <c r="C41" s="648" t="s">
        <v>80</v>
      </c>
      <c r="D41" s="649">
        <v>11757</v>
      </c>
      <c r="E41" s="151">
        <v>5563</v>
      </c>
      <c r="F41" s="406">
        <v>1241</v>
      </c>
      <c r="G41" s="796">
        <v>17728</v>
      </c>
      <c r="H41" s="650">
        <v>234</v>
      </c>
      <c r="I41" s="671">
        <v>2790</v>
      </c>
    </row>
    <row r="42" spans="1:9" x14ac:dyDescent="0.25">
      <c r="A42" s="706">
        <v>34</v>
      </c>
      <c r="B42" s="701" t="s">
        <v>81</v>
      </c>
      <c r="C42" s="652" t="s">
        <v>82</v>
      </c>
      <c r="D42" s="649">
        <v>3180</v>
      </c>
      <c r="E42" s="151">
        <v>489</v>
      </c>
      <c r="F42" s="406">
        <v>504</v>
      </c>
      <c r="G42" s="796">
        <v>3878</v>
      </c>
      <c r="H42" s="650"/>
      <c r="I42" s="671"/>
    </row>
    <row r="43" spans="1:9" ht="13.5" customHeight="1" x14ac:dyDescent="0.25">
      <c r="A43" s="706">
        <v>35</v>
      </c>
      <c r="B43" s="408" t="s">
        <v>83</v>
      </c>
      <c r="C43" s="648" t="s">
        <v>84</v>
      </c>
      <c r="D43" s="649">
        <v>7017</v>
      </c>
      <c r="E43" s="151">
        <v>3421</v>
      </c>
      <c r="F43" s="406">
        <v>577</v>
      </c>
      <c r="G43" s="796">
        <v>6925</v>
      </c>
      <c r="H43" s="650">
        <v>155</v>
      </c>
      <c r="I43" s="671">
        <v>1860</v>
      </c>
    </row>
    <row r="44" spans="1:9" x14ac:dyDescent="0.25">
      <c r="A44" s="706">
        <v>36</v>
      </c>
      <c r="B44" s="408" t="s">
        <v>85</v>
      </c>
      <c r="C44" s="648" t="s">
        <v>86</v>
      </c>
      <c r="D44" s="649">
        <v>4549</v>
      </c>
      <c r="E44" s="151">
        <v>73</v>
      </c>
      <c r="F44" s="406">
        <v>324</v>
      </c>
      <c r="G44" s="796">
        <v>2493</v>
      </c>
      <c r="H44" s="650"/>
      <c r="I44" s="671"/>
    </row>
    <row r="45" spans="1:9" x14ac:dyDescent="0.25">
      <c r="A45" s="706">
        <v>37</v>
      </c>
      <c r="B45" s="410" t="s">
        <v>87</v>
      </c>
      <c r="C45" s="651" t="s">
        <v>88</v>
      </c>
      <c r="D45" s="649">
        <v>6759</v>
      </c>
      <c r="E45" s="151">
        <v>3228</v>
      </c>
      <c r="F45" s="406">
        <v>693</v>
      </c>
      <c r="G45" s="796">
        <v>8310</v>
      </c>
      <c r="H45" s="650"/>
      <c r="I45" s="671"/>
    </row>
    <row r="46" spans="1:9" x14ac:dyDescent="0.25">
      <c r="A46" s="706">
        <v>38</v>
      </c>
      <c r="B46" s="408" t="s">
        <v>89</v>
      </c>
      <c r="C46" s="648" t="s">
        <v>90</v>
      </c>
      <c r="D46" s="649">
        <v>4180</v>
      </c>
      <c r="E46" s="151">
        <v>73</v>
      </c>
      <c r="F46" s="406"/>
      <c r="G46" s="796"/>
      <c r="H46" s="650"/>
      <c r="I46" s="671"/>
    </row>
    <row r="47" spans="1:9" x14ac:dyDescent="0.25">
      <c r="A47" s="706">
        <v>39</v>
      </c>
      <c r="B47" s="408" t="s">
        <v>91</v>
      </c>
      <c r="C47" s="648" t="s">
        <v>92</v>
      </c>
      <c r="D47" s="649">
        <v>2318</v>
      </c>
      <c r="E47" s="151">
        <v>52</v>
      </c>
      <c r="F47" s="406"/>
      <c r="G47" s="796"/>
      <c r="H47" s="650"/>
      <c r="I47" s="671"/>
    </row>
    <row r="48" spans="1:9" ht="14.25" customHeight="1" x14ac:dyDescent="0.25">
      <c r="A48" s="706">
        <v>40</v>
      </c>
      <c r="B48" s="143" t="s">
        <v>93</v>
      </c>
      <c r="C48" s="655" t="s">
        <v>94</v>
      </c>
      <c r="D48" s="649">
        <v>5058</v>
      </c>
      <c r="E48" s="151">
        <v>416</v>
      </c>
      <c r="F48" s="406"/>
      <c r="G48" s="796"/>
      <c r="H48" s="650"/>
      <c r="I48" s="671"/>
    </row>
    <row r="49" spans="1:9" x14ac:dyDescent="0.25">
      <c r="A49" s="706">
        <v>41</v>
      </c>
      <c r="B49" s="408" t="s">
        <v>95</v>
      </c>
      <c r="C49" s="648" t="s">
        <v>96</v>
      </c>
      <c r="D49" s="649">
        <v>2503</v>
      </c>
      <c r="E49" s="151">
        <v>156</v>
      </c>
      <c r="F49" s="406"/>
      <c r="G49" s="796"/>
      <c r="H49" s="650"/>
      <c r="I49" s="671"/>
    </row>
    <row r="50" spans="1:9" x14ac:dyDescent="0.25">
      <c r="A50" s="706">
        <v>42</v>
      </c>
      <c r="B50" s="701" t="s">
        <v>97</v>
      </c>
      <c r="C50" s="652" t="s">
        <v>98</v>
      </c>
      <c r="D50" s="649"/>
      <c r="E50" s="151"/>
      <c r="F50" s="406"/>
      <c r="G50" s="796"/>
      <c r="H50" s="650"/>
      <c r="I50" s="671"/>
    </row>
    <row r="51" spans="1:9" x14ac:dyDescent="0.25">
      <c r="A51" s="706">
        <v>43</v>
      </c>
      <c r="B51" s="410" t="s">
        <v>99</v>
      </c>
      <c r="C51" s="651" t="s">
        <v>100</v>
      </c>
      <c r="D51" s="649">
        <v>9725</v>
      </c>
      <c r="E51" s="151">
        <v>4350</v>
      </c>
      <c r="F51" s="406">
        <v>577</v>
      </c>
      <c r="G51" s="796">
        <v>6925</v>
      </c>
      <c r="H51" s="650"/>
      <c r="I51" s="671"/>
    </row>
    <row r="52" spans="1:9" x14ac:dyDescent="0.25">
      <c r="A52" s="706">
        <v>44</v>
      </c>
      <c r="B52" s="408" t="s">
        <v>101</v>
      </c>
      <c r="C52" s="648" t="s">
        <v>102</v>
      </c>
      <c r="D52" s="649">
        <v>3398</v>
      </c>
      <c r="E52" s="151">
        <v>505</v>
      </c>
      <c r="F52" s="406"/>
      <c r="G52" s="796"/>
      <c r="H52" s="650"/>
      <c r="I52" s="671"/>
    </row>
    <row r="53" spans="1:9" ht="10.5" customHeight="1" x14ac:dyDescent="0.25">
      <c r="A53" s="706">
        <v>45</v>
      </c>
      <c r="B53" s="410" t="s">
        <v>103</v>
      </c>
      <c r="C53" s="651" t="s">
        <v>104</v>
      </c>
      <c r="D53" s="649">
        <v>7935</v>
      </c>
      <c r="E53" s="151">
        <v>3976</v>
      </c>
      <c r="F53" s="406">
        <v>808</v>
      </c>
      <c r="G53" s="796">
        <v>9695</v>
      </c>
      <c r="H53" s="650"/>
      <c r="I53" s="671"/>
    </row>
    <row r="54" spans="1:9" x14ac:dyDescent="0.25">
      <c r="A54" s="706">
        <v>46</v>
      </c>
      <c r="B54" s="408" t="s">
        <v>105</v>
      </c>
      <c r="C54" s="648" t="s">
        <v>106</v>
      </c>
      <c r="D54" s="649">
        <v>3442</v>
      </c>
      <c r="E54" s="151">
        <v>42</v>
      </c>
      <c r="F54" s="406"/>
      <c r="G54" s="796"/>
      <c r="H54" s="650"/>
      <c r="I54" s="671"/>
    </row>
    <row r="55" spans="1:9" x14ac:dyDescent="0.25">
      <c r="A55" s="706">
        <v>47</v>
      </c>
      <c r="B55" s="408" t="s">
        <v>107</v>
      </c>
      <c r="C55" s="648" t="s">
        <v>108</v>
      </c>
      <c r="D55" s="649">
        <v>3964</v>
      </c>
      <c r="E55" s="151">
        <v>610</v>
      </c>
      <c r="F55" s="406"/>
      <c r="G55" s="796"/>
      <c r="H55" s="650"/>
      <c r="I55" s="671"/>
    </row>
    <row r="56" spans="1:9" ht="11.25" customHeight="1" x14ac:dyDescent="0.25">
      <c r="A56" s="706">
        <v>48</v>
      </c>
      <c r="B56" s="410" t="s">
        <v>109</v>
      </c>
      <c r="C56" s="651" t="s">
        <v>110</v>
      </c>
      <c r="D56" s="649">
        <v>3261</v>
      </c>
      <c r="E56" s="151">
        <v>1504</v>
      </c>
      <c r="F56" s="406">
        <v>863</v>
      </c>
      <c r="G56" s="796">
        <v>6648</v>
      </c>
      <c r="H56" s="650">
        <v>103</v>
      </c>
      <c r="I56" s="671">
        <v>1240</v>
      </c>
    </row>
    <row r="57" spans="1:9" ht="11.25" customHeight="1" x14ac:dyDescent="0.25">
      <c r="A57" s="706">
        <v>49</v>
      </c>
      <c r="B57" s="410" t="s">
        <v>111</v>
      </c>
      <c r="C57" s="651" t="s">
        <v>112</v>
      </c>
      <c r="D57" s="649">
        <v>2275</v>
      </c>
      <c r="E57" s="151">
        <v>156</v>
      </c>
      <c r="F57" s="406"/>
      <c r="G57" s="796"/>
      <c r="H57" s="650"/>
      <c r="I57" s="671"/>
    </row>
    <row r="58" spans="1:9" ht="11.25" customHeight="1" x14ac:dyDescent="0.25">
      <c r="A58" s="706">
        <v>50</v>
      </c>
      <c r="B58" s="408" t="s">
        <v>113</v>
      </c>
      <c r="C58" s="648" t="s">
        <v>114</v>
      </c>
      <c r="D58" s="649">
        <v>3200</v>
      </c>
      <c r="E58" s="151">
        <v>493</v>
      </c>
      <c r="F58" s="406"/>
      <c r="G58" s="796"/>
      <c r="H58" s="650"/>
      <c r="I58" s="671"/>
    </row>
    <row r="59" spans="1:9" ht="11.25" customHeight="1" x14ac:dyDescent="0.25">
      <c r="A59" s="706">
        <v>51</v>
      </c>
      <c r="B59" s="410" t="s">
        <v>115</v>
      </c>
      <c r="C59" s="651" t="s">
        <v>116</v>
      </c>
      <c r="D59" s="649">
        <v>5763</v>
      </c>
      <c r="E59" s="151">
        <v>94</v>
      </c>
      <c r="F59" s="406"/>
      <c r="G59" s="796"/>
      <c r="H59" s="650"/>
      <c r="I59" s="671"/>
    </row>
    <row r="60" spans="1:9" ht="11.25" customHeight="1" x14ac:dyDescent="0.25">
      <c r="A60" s="706">
        <v>52</v>
      </c>
      <c r="B60" s="408" t="s">
        <v>117</v>
      </c>
      <c r="C60" s="648" t="s">
        <v>118</v>
      </c>
      <c r="D60" s="649">
        <v>10140</v>
      </c>
      <c r="E60" s="151">
        <v>5198</v>
      </c>
      <c r="F60" s="406">
        <v>923</v>
      </c>
      <c r="G60" s="796">
        <v>11080</v>
      </c>
      <c r="H60" s="650">
        <v>207</v>
      </c>
      <c r="I60" s="671">
        <v>2480</v>
      </c>
    </row>
    <row r="61" spans="1:9" ht="11.25" customHeight="1" x14ac:dyDescent="0.25">
      <c r="A61" s="706">
        <v>53</v>
      </c>
      <c r="B61" s="410" t="s">
        <v>119</v>
      </c>
      <c r="C61" s="651" t="s">
        <v>120</v>
      </c>
      <c r="D61" s="649">
        <v>2686</v>
      </c>
      <c r="E61" s="151">
        <v>408</v>
      </c>
      <c r="F61" s="406"/>
      <c r="G61" s="796"/>
      <c r="H61" s="650"/>
      <c r="I61" s="671"/>
    </row>
    <row r="62" spans="1:9" ht="11.25" customHeight="1" x14ac:dyDescent="0.25">
      <c r="A62" s="706">
        <v>54</v>
      </c>
      <c r="B62" s="410" t="s">
        <v>121</v>
      </c>
      <c r="C62" s="651" t="s">
        <v>122</v>
      </c>
      <c r="D62" s="649"/>
      <c r="E62" s="151"/>
      <c r="F62" s="406"/>
      <c r="G62" s="796"/>
      <c r="H62" s="650"/>
      <c r="I62" s="671"/>
    </row>
    <row r="63" spans="1:9" ht="11.25" customHeight="1" x14ac:dyDescent="0.25">
      <c r="A63" s="706">
        <v>55</v>
      </c>
      <c r="B63" s="410" t="s">
        <v>123</v>
      </c>
      <c r="C63" s="651" t="s">
        <v>124</v>
      </c>
      <c r="D63" s="649"/>
      <c r="E63" s="151"/>
      <c r="F63" s="406"/>
      <c r="G63" s="796"/>
      <c r="H63" s="650"/>
      <c r="I63" s="671"/>
    </row>
    <row r="64" spans="1:9" ht="11.25" customHeight="1" x14ac:dyDescent="0.25">
      <c r="A64" s="706">
        <v>56</v>
      </c>
      <c r="B64" s="707" t="s">
        <v>125</v>
      </c>
      <c r="C64" s="656" t="s">
        <v>126</v>
      </c>
      <c r="D64" s="649"/>
      <c r="E64" s="151"/>
      <c r="F64" s="406"/>
      <c r="G64" s="796"/>
      <c r="H64" s="650"/>
      <c r="I64" s="671"/>
    </row>
    <row r="65" spans="1:9" ht="11.25" customHeight="1" x14ac:dyDescent="0.25">
      <c r="A65" s="706">
        <v>57</v>
      </c>
      <c r="B65" s="410" t="s">
        <v>127</v>
      </c>
      <c r="C65" s="651" t="s">
        <v>128</v>
      </c>
      <c r="D65" s="649"/>
      <c r="E65" s="151"/>
      <c r="F65" s="406"/>
      <c r="G65" s="796"/>
      <c r="H65" s="650"/>
      <c r="I65" s="671"/>
    </row>
    <row r="66" spans="1:9" ht="11.25" customHeight="1" x14ac:dyDescent="0.25">
      <c r="A66" s="706">
        <v>58</v>
      </c>
      <c r="B66" s="410" t="s">
        <v>129</v>
      </c>
      <c r="C66" s="651" t="s">
        <v>460</v>
      </c>
      <c r="D66" s="649"/>
      <c r="E66" s="151"/>
      <c r="F66" s="406"/>
      <c r="G66" s="796"/>
      <c r="H66" s="650"/>
      <c r="I66" s="671"/>
    </row>
    <row r="67" spans="1:9" ht="12" customHeight="1" x14ac:dyDescent="0.25">
      <c r="A67" s="706">
        <v>59</v>
      </c>
      <c r="B67" s="410" t="s">
        <v>131</v>
      </c>
      <c r="C67" s="651" t="s">
        <v>132</v>
      </c>
      <c r="D67" s="649"/>
      <c r="E67" s="151"/>
      <c r="F67" s="406"/>
      <c r="G67" s="796"/>
      <c r="H67" s="650"/>
      <c r="I67" s="671"/>
    </row>
    <row r="68" spans="1:9" ht="12" customHeight="1" x14ac:dyDescent="0.25">
      <c r="A68" s="706">
        <v>60</v>
      </c>
      <c r="B68" s="408" t="s">
        <v>133</v>
      </c>
      <c r="C68" s="651" t="s">
        <v>299</v>
      </c>
      <c r="D68" s="649"/>
      <c r="E68" s="151"/>
      <c r="F68" s="406"/>
      <c r="G68" s="796"/>
      <c r="H68" s="650"/>
      <c r="I68" s="671"/>
    </row>
    <row r="69" spans="1:9" ht="12" customHeight="1" x14ac:dyDescent="0.25">
      <c r="A69" s="706">
        <v>61</v>
      </c>
      <c r="B69" s="701" t="s">
        <v>135</v>
      </c>
      <c r="C69" s="651" t="s">
        <v>462</v>
      </c>
      <c r="D69" s="649"/>
      <c r="E69" s="151"/>
      <c r="F69" s="406"/>
      <c r="G69" s="796"/>
      <c r="H69" s="650"/>
      <c r="I69" s="671"/>
    </row>
    <row r="70" spans="1:9" ht="25.5" customHeight="1" x14ac:dyDescent="0.25">
      <c r="A70" s="706">
        <v>62</v>
      </c>
      <c r="B70" s="408" t="s">
        <v>137</v>
      </c>
      <c r="C70" s="651" t="s">
        <v>645</v>
      </c>
      <c r="D70" s="649"/>
      <c r="E70" s="151"/>
      <c r="F70" s="406"/>
      <c r="G70" s="796"/>
      <c r="H70" s="650"/>
      <c r="I70" s="671"/>
    </row>
    <row r="71" spans="1:9" ht="25.5" customHeight="1" x14ac:dyDescent="0.25">
      <c r="A71" s="706">
        <v>63</v>
      </c>
      <c r="B71" s="410" t="s">
        <v>139</v>
      </c>
      <c r="C71" s="651" t="s">
        <v>646</v>
      </c>
      <c r="D71" s="649"/>
      <c r="E71" s="151"/>
      <c r="F71" s="406"/>
      <c r="G71" s="796"/>
      <c r="H71" s="650"/>
      <c r="I71" s="671"/>
    </row>
    <row r="72" spans="1:9" x14ac:dyDescent="0.25">
      <c r="A72" s="706">
        <v>64</v>
      </c>
      <c r="B72" s="408" t="s">
        <v>141</v>
      </c>
      <c r="C72" s="651" t="s">
        <v>457</v>
      </c>
      <c r="D72" s="649"/>
      <c r="E72" s="151"/>
      <c r="F72" s="406"/>
      <c r="G72" s="796"/>
      <c r="H72" s="650"/>
      <c r="I72" s="671"/>
    </row>
    <row r="73" spans="1:9" x14ac:dyDescent="0.25">
      <c r="A73" s="706">
        <v>65</v>
      </c>
      <c r="B73" s="408" t="s">
        <v>143</v>
      </c>
      <c r="C73" s="651" t="s">
        <v>144</v>
      </c>
      <c r="D73" s="649"/>
      <c r="E73" s="151"/>
      <c r="F73" s="406"/>
      <c r="G73" s="796"/>
      <c r="H73" s="650"/>
      <c r="I73" s="671"/>
    </row>
    <row r="74" spans="1:9" x14ac:dyDescent="0.25">
      <c r="A74" s="706">
        <v>66</v>
      </c>
      <c r="B74" s="408" t="s">
        <v>145</v>
      </c>
      <c r="C74" s="651" t="s">
        <v>458</v>
      </c>
      <c r="D74" s="649"/>
      <c r="E74" s="151"/>
      <c r="F74" s="406"/>
      <c r="G74" s="796"/>
      <c r="H74" s="650"/>
      <c r="I74" s="671"/>
    </row>
    <row r="75" spans="1:9" ht="24" x14ac:dyDescent="0.25">
      <c r="A75" s="706">
        <v>67</v>
      </c>
      <c r="B75" s="408" t="s">
        <v>147</v>
      </c>
      <c r="C75" s="651" t="s">
        <v>647</v>
      </c>
      <c r="D75" s="649"/>
      <c r="E75" s="151"/>
      <c r="F75" s="406"/>
      <c r="G75" s="796"/>
      <c r="H75" s="650"/>
      <c r="I75" s="671"/>
    </row>
    <row r="76" spans="1:9" ht="24" x14ac:dyDescent="0.25">
      <c r="A76" s="706">
        <v>68</v>
      </c>
      <c r="B76" s="408" t="s">
        <v>149</v>
      </c>
      <c r="C76" s="651" t="s">
        <v>464</v>
      </c>
      <c r="D76" s="649"/>
      <c r="E76" s="151"/>
      <c r="F76" s="406"/>
      <c r="G76" s="796"/>
      <c r="H76" s="650"/>
      <c r="I76" s="671"/>
    </row>
    <row r="77" spans="1:9" ht="24" x14ac:dyDescent="0.25">
      <c r="A77" s="706">
        <v>69</v>
      </c>
      <c r="B77" s="408" t="s">
        <v>151</v>
      </c>
      <c r="C77" s="651" t="s">
        <v>648</v>
      </c>
      <c r="D77" s="649"/>
      <c r="E77" s="151"/>
      <c r="F77" s="406"/>
      <c r="G77" s="796"/>
      <c r="H77" s="650"/>
      <c r="I77" s="671"/>
    </row>
    <row r="78" spans="1:9" ht="24" x14ac:dyDescent="0.25">
      <c r="A78" s="706">
        <v>70</v>
      </c>
      <c r="B78" s="408" t="s">
        <v>153</v>
      </c>
      <c r="C78" s="651" t="s">
        <v>649</v>
      </c>
      <c r="D78" s="649"/>
      <c r="E78" s="151"/>
      <c r="F78" s="406"/>
      <c r="G78" s="796"/>
      <c r="H78" s="650"/>
      <c r="I78" s="671"/>
    </row>
    <row r="79" spans="1:9" ht="24" x14ac:dyDescent="0.25">
      <c r="A79" s="706">
        <v>71</v>
      </c>
      <c r="B79" s="410" t="s">
        <v>155</v>
      </c>
      <c r="C79" s="651" t="s">
        <v>650</v>
      </c>
      <c r="D79" s="649"/>
      <c r="E79" s="151"/>
      <c r="F79" s="406"/>
      <c r="G79" s="796"/>
      <c r="H79" s="650"/>
      <c r="I79" s="671"/>
    </row>
    <row r="80" spans="1:9" ht="24" x14ac:dyDescent="0.25">
      <c r="A80" s="706">
        <v>72</v>
      </c>
      <c r="B80" s="408" t="s">
        <v>157</v>
      </c>
      <c r="C80" s="648" t="s">
        <v>651</v>
      </c>
      <c r="D80" s="649"/>
      <c r="E80" s="151"/>
      <c r="F80" s="406"/>
      <c r="G80" s="796"/>
      <c r="H80" s="650"/>
      <c r="I80" s="671"/>
    </row>
    <row r="81" spans="1:9" ht="24" x14ac:dyDescent="0.25">
      <c r="A81" s="706">
        <v>73</v>
      </c>
      <c r="B81" s="410" t="s">
        <v>159</v>
      </c>
      <c r="C81" s="651" t="s">
        <v>652</v>
      </c>
      <c r="D81" s="649"/>
      <c r="E81" s="151"/>
      <c r="F81" s="406"/>
      <c r="G81" s="796"/>
      <c r="H81" s="650"/>
      <c r="I81" s="671"/>
    </row>
    <row r="82" spans="1:9" x14ac:dyDescent="0.25">
      <c r="A82" s="706">
        <v>74</v>
      </c>
      <c r="B82" s="408" t="s">
        <v>161</v>
      </c>
      <c r="C82" s="651" t="s">
        <v>162</v>
      </c>
      <c r="D82" s="649"/>
      <c r="E82" s="151"/>
      <c r="F82" s="406"/>
      <c r="G82" s="796"/>
      <c r="H82" s="650"/>
      <c r="I82" s="671"/>
    </row>
    <row r="83" spans="1:9" x14ac:dyDescent="0.25">
      <c r="A83" s="706">
        <v>75</v>
      </c>
      <c r="B83" s="410" t="s">
        <v>163</v>
      </c>
      <c r="C83" s="651" t="s">
        <v>459</v>
      </c>
      <c r="D83" s="649"/>
      <c r="E83" s="151"/>
      <c r="F83" s="406"/>
      <c r="G83" s="796"/>
      <c r="H83" s="650"/>
      <c r="I83" s="671"/>
    </row>
    <row r="84" spans="1:9" x14ac:dyDescent="0.25">
      <c r="A84" s="706">
        <v>76</v>
      </c>
      <c r="B84" s="410" t="s">
        <v>165</v>
      </c>
      <c r="C84" s="651" t="s">
        <v>166</v>
      </c>
      <c r="D84" s="649"/>
      <c r="E84" s="151"/>
      <c r="F84" s="406"/>
      <c r="G84" s="796"/>
      <c r="H84" s="650"/>
      <c r="I84" s="671"/>
    </row>
    <row r="85" spans="1:9" x14ac:dyDescent="0.25">
      <c r="A85" s="706">
        <v>77</v>
      </c>
      <c r="B85" s="408" t="s">
        <v>167</v>
      </c>
      <c r="C85" s="651" t="s">
        <v>168</v>
      </c>
      <c r="D85" s="649"/>
      <c r="E85" s="151"/>
      <c r="F85" s="406"/>
      <c r="G85" s="796"/>
      <c r="H85" s="650"/>
      <c r="I85" s="671"/>
    </row>
    <row r="86" spans="1:9" x14ac:dyDescent="0.25">
      <c r="A86" s="706">
        <v>78</v>
      </c>
      <c r="B86" s="408" t="s">
        <v>169</v>
      </c>
      <c r="C86" s="651" t="s">
        <v>170</v>
      </c>
      <c r="D86" s="649"/>
      <c r="E86" s="151"/>
      <c r="F86" s="406"/>
      <c r="G86" s="796"/>
      <c r="H86" s="650"/>
      <c r="I86" s="671"/>
    </row>
    <row r="87" spans="1:9" x14ac:dyDescent="0.25">
      <c r="A87" s="706">
        <v>79</v>
      </c>
      <c r="B87" s="408" t="s">
        <v>171</v>
      </c>
      <c r="C87" s="651" t="s">
        <v>172</v>
      </c>
      <c r="D87" s="649"/>
      <c r="E87" s="151"/>
      <c r="F87" s="406"/>
      <c r="G87" s="796"/>
      <c r="H87" s="650"/>
      <c r="I87" s="671"/>
    </row>
    <row r="88" spans="1:9" x14ac:dyDescent="0.25">
      <c r="A88" s="706">
        <v>80</v>
      </c>
      <c r="B88" s="408" t="s">
        <v>173</v>
      </c>
      <c r="C88" s="651" t="s">
        <v>622</v>
      </c>
      <c r="D88" s="649"/>
      <c r="E88" s="151"/>
      <c r="F88" s="406"/>
      <c r="G88" s="796"/>
      <c r="H88" s="650"/>
      <c r="I88" s="671"/>
    </row>
    <row r="89" spans="1:9" x14ac:dyDescent="0.25">
      <c r="A89" s="706">
        <v>81</v>
      </c>
      <c r="B89" s="408" t="s">
        <v>175</v>
      </c>
      <c r="C89" s="651" t="s">
        <v>176</v>
      </c>
      <c r="D89" s="649"/>
      <c r="E89" s="151"/>
      <c r="F89" s="406"/>
      <c r="G89" s="796"/>
      <c r="H89" s="650"/>
      <c r="I89" s="671"/>
    </row>
    <row r="90" spans="1:9" x14ac:dyDescent="0.25">
      <c r="A90" s="706">
        <v>82</v>
      </c>
      <c r="B90" s="419" t="s">
        <v>177</v>
      </c>
      <c r="C90" s="656" t="s">
        <v>760</v>
      </c>
      <c r="D90" s="649"/>
      <c r="E90" s="151"/>
      <c r="F90" s="406"/>
      <c r="G90" s="796"/>
      <c r="H90" s="650"/>
      <c r="I90" s="671"/>
    </row>
    <row r="91" spans="1:9" ht="24" x14ac:dyDescent="0.25">
      <c r="A91" s="1248">
        <v>83</v>
      </c>
      <c r="B91" s="1249" t="s">
        <v>178</v>
      </c>
      <c r="C91" s="657" t="s">
        <v>761</v>
      </c>
      <c r="D91" s="649"/>
      <c r="E91" s="151"/>
      <c r="F91" s="406"/>
      <c r="G91" s="796"/>
      <c r="H91" s="650"/>
      <c r="I91" s="671"/>
    </row>
    <row r="92" spans="1:9" ht="24" x14ac:dyDescent="0.25">
      <c r="A92" s="1248"/>
      <c r="B92" s="1249"/>
      <c r="C92" s="656" t="s">
        <v>179</v>
      </c>
      <c r="D92" s="649"/>
      <c r="E92" s="151"/>
      <c r="F92" s="406"/>
      <c r="G92" s="796"/>
      <c r="H92" s="650"/>
      <c r="I92" s="671"/>
    </row>
    <row r="93" spans="1:9" ht="24" x14ac:dyDescent="0.25">
      <c r="A93" s="1248"/>
      <c r="B93" s="1249"/>
      <c r="C93" s="656" t="s">
        <v>180</v>
      </c>
      <c r="D93" s="649"/>
      <c r="E93" s="151"/>
      <c r="F93" s="406"/>
      <c r="G93" s="796"/>
      <c r="H93" s="650"/>
      <c r="I93" s="671"/>
    </row>
    <row r="94" spans="1:9" ht="36" x14ac:dyDescent="0.25">
      <c r="A94" s="1248"/>
      <c r="B94" s="1249"/>
      <c r="C94" s="658" t="s">
        <v>510</v>
      </c>
      <c r="D94" s="649"/>
      <c r="E94" s="151"/>
      <c r="F94" s="406"/>
      <c r="G94" s="796"/>
      <c r="H94" s="650"/>
      <c r="I94" s="671"/>
    </row>
    <row r="95" spans="1:9" ht="24" x14ac:dyDescent="0.25">
      <c r="A95" s="706">
        <v>84</v>
      </c>
      <c r="B95" s="410" t="s">
        <v>181</v>
      </c>
      <c r="C95" s="651" t="s">
        <v>182</v>
      </c>
      <c r="D95" s="649"/>
      <c r="E95" s="151"/>
      <c r="F95" s="406"/>
      <c r="G95" s="796"/>
      <c r="H95" s="650"/>
      <c r="I95" s="671"/>
    </row>
    <row r="96" spans="1:9" x14ac:dyDescent="0.25">
      <c r="A96" s="706">
        <v>85</v>
      </c>
      <c r="B96" s="408" t="s">
        <v>183</v>
      </c>
      <c r="C96" s="651" t="s">
        <v>184</v>
      </c>
      <c r="D96" s="649"/>
      <c r="E96" s="151"/>
      <c r="F96" s="406"/>
      <c r="G96" s="796"/>
      <c r="H96" s="650"/>
      <c r="I96" s="671"/>
    </row>
    <row r="97" spans="1:9" x14ac:dyDescent="0.25">
      <c r="A97" s="706">
        <v>86</v>
      </c>
      <c r="B97" s="410" t="s">
        <v>185</v>
      </c>
      <c r="C97" s="651" t="s">
        <v>186</v>
      </c>
      <c r="D97" s="649"/>
      <c r="E97" s="151"/>
      <c r="F97" s="406"/>
      <c r="G97" s="796"/>
      <c r="H97" s="650"/>
      <c r="I97" s="671"/>
    </row>
    <row r="98" spans="1:9" x14ac:dyDescent="0.25">
      <c r="A98" s="706">
        <v>87</v>
      </c>
      <c r="B98" s="701" t="s">
        <v>187</v>
      </c>
      <c r="C98" s="652" t="s">
        <v>188</v>
      </c>
      <c r="D98" s="649">
        <v>2483</v>
      </c>
      <c r="E98" s="151">
        <v>73</v>
      </c>
      <c r="F98" s="406"/>
      <c r="G98" s="796"/>
      <c r="H98" s="650"/>
      <c r="I98" s="671"/>
    </row>
    <row r="99" spans="1:9" x14ac:dyDescent="0.25">
      <c r="A99" s="706">
        <v>88</v>
      </c>
      <c r="B99" s="408" t="s">
        <v>189</v>
      </c>
      <c r="C99" s="651" t="s">
        <v>190</v>
      </c>
      <c r="D99" s="649">
        <v>2290</v>
      </c>
      <c r="E99" s="151">
        <v>353</v>
      </c>
      <c r="F99" s="406"/>
      <c r="G99" s="796"/>
      <c r="H99" s="650"/>
      <c r="I99" s="671"/>
    </row>
    <row r="100" spans="1:9" x14ac:dyDescent="0.25">
      <c r="A100" s="706">
        <v>89</v>
      </c>
      <c r="B100" s="408" t="s">
        <v>191</v>
      </c>
      <c r="C100" s="651" t="s">
        <v>192</v>
      </c>
      <c r="D100" s="649">
        <v>6777</v>
      </c>
      <c r="E100" s="151">
        <v>260</v>
      </c>
      <c r="F100" s="406"/>
      <c r="G100" s="796"/>
      <c r="H100" s="650"/>
      <c r="I100" s="671"/>
    </row>
    <row r="101" spans="1:9" x14ac:dyDescent="0.25">
      <c r="A101" s="706">
        <v>90</v>
      </c>
      <c r="B101" s="701" t="s">
        <v>193</v>
      </c>
      <c r="C101" s="652" t="s">
        <v>194</v>
      </c>
      <c r="D101" s="649">
        <v>2871</v>
      </c>
      <c r="E101" s="151">
        <v>467</v>
      </c>
      <c r="F101" s="406"/>
      <c r="G101" s="796"/>
      <c r="H101" s="650"/>
      <c r="I101" s="671"/>
    </row>
    <row r="102" spans="1:9" x14ac:dyDescent="0.25">
      <c r="A102" s="706">
        <v>91</v>
      </c>
      <c r="B102" s="408" t="s">
        <v>195</v>
      </c>
      <c r="C102" s="651" t="s">
        <v>196</v>
      </c>
      <c r="D102" s="649">
        <v>3483</v>
      </c>
      <c r="E102" s="151">
        <v>537</v>
      </c>
      <c r="F102" s="406">
        <v>360</v>
      </c>
      <c r="G102" s="796">
        <v>2770</v>
      </c>
      <c r="H102" s="650"/>
      <c r="I102" s="671"/>
    </row>
    <row r="103" spans="1:9" x14ac:dyDescent="0.25">
      <c r="A103" s="706">
        <v>92</v>
      </c>
      <c r="B103" s="701" t="s">
        <v>197</v>
      </c>
      <c r="C103" s="652" t="s">
        <v>198</v>
      </c>
      <c r="D103" s="649">
        <v>5863</v>
      </c>
      <c r="E103" s="151">
        <v>902</v>
      </c>
      <c r="F103" s="406"/>
      <c r="G103" s="796"/>
      <c r="H103" s="650"/>
      <c r="I103" s="671"/>
    </row>
    <row r="104" spans="1:9" x14ac:dyDescent="0.25">
      <c r="A104" s="706">
        <v>93</v>
      </c>
      <c r="B104" s="408" t="s">
        <v>199</v>
      </c>
      <c r="C104" s="651" t="s">
        <v>200</v>
      </c>
      <c r="D104" s="649">
        <v>6908</v>
      </c>
      <c r="E104" s="151">
        <v>52</v>
      </c>
      <c r="F104" s="406"/>
      <c r="G104" s="796"/>
      <c r="H104" s="650"/>
      <c r="I104" s="671"/>
    </row>
    <row r="105" spans="1:9" x14ac:dyDescent="0.25">
      <c r="A105" s="706">
        <v>94</v>
      </c>
      <c r="B105" s="410" t="s">
        <v>201</v>
      </c>
      <c r="C105" s="651" t="s">
        <v>202</v>
      </c>
      <c r="D105" s="649">
        <v>2568</v>
      </c>
      <c r="E105" s="151">
        <v>52</v>
      </c>
      <c r="F105" s="406">
        <v>504</v>
      </c>
      <c r="G105" s="796">
        <v>3878</v>
      </c>
      <c r="H105" s="650"/>
      <c r="I105" s="671"/>
    </row>
    <row r="106" spans="1:9" x14ac:dyDescent="0.25">
      <c r="A106" s="706">
        <v>95</v>
      </c>
      <c r="B106" s="408" t="s">
        <v>203</v>
      </c>
      <c r="C106" s="648" t="s">
        <v>204</v>
      </c>
      <c r="D106" s="649">
        <v>3163</v>
      </c>
      <c r="E106" s="151">
        <v>487</v>
      </c>
      <c r="F106" s="406"/>
      <c r="G106" s="796"/>
      <c r="H106" s="650"/>
      <c r="I106" s="671"/>
    </row>
    <row r="107" spans="1:9" x14ac:dyDescent="0.25">
      <c r="A107" s="706">
        <v>96</v>
      </c>
      <c r="B107" s="408" t="s">
        <v>205</v>
      </c>
      <c r="C107" s="652" t="s">
        <v>206</v>
      </c>
      <c r="D107" s="649">
        <v>3519</v>
      </c>
      <c r="E107" s="151">
        <v>73</v>
      </c>
      <c r="F107" s="406">
        <v>360</v>
      </c>
      <c r="G107" s="796">
        <v>2770</v>
      </c>
      <c r="H107" s="650"/>
      <c r="I107" s="671"/>
    </row>
    <row r="108" spans="1:9" x14ac:dyDescent="0.25">
      <c r="A108" s="706">
        <v>97</v>
      </c>
      <c r="B108" s="410" t="s">
        <v>207</v>
      </c>
      <c r="C108" s="651" t="s">
        <v>208</v>
      </c>
      <c r="D108" s="649">
        <v>3599</v>
      </c>
      <c r="E108" s="151">
        <v>554</v>
      </c>
      <c r="F108" s="406">
        <v>540</v>
      </c>
      <c r="G108" s="796">
        <v>4155</v>
      </c>
      <c r="H108" s="650"/>
      <c r="I108" s="671"/>
    </row>
    <row r="109" spans="1:9" x14ac:dyDescent="0.25">
      <c r="A109" s="706">
        <v>98</v>
      </c>
      <c r="B109" s="408" t="s">
        <v>209</v>
      </c>
      <c r="C109" s="648" t="s">
        <v>210</v>
      </c>
      <c r="D109" s="649">
        <v>2631</v>
      </c>
      <c r="E109" s="151">
        <v>370</v>
      </c>
      <c r="F109" s="406"/>
      <c r="G109" s="796"/>
      <c r="H109" s="650"/>
      <c r="I109" s="671"/>
    </row>
    <row r="110" spans="1:9" x14ac:dyDescent="0.25">
      <c r="A110" s="706">
        <v>99</v>
      </c>
      <c r="B110" s="410" t="s">
        <v>211</v>
      </c>
      <c r="C110" s="651" t="s">
        <v>212</v>
      </c>
      <c r="D110" s="649">
        <v>3534</v>
      </c>
      <c r="E110" s="151">
        <v>544</v>
      </c>
      <c r="F110" s="406"/>
      <c r="G110" s="796"/>
      <c r="H110" s="650"/>
      <c r="I110" s="671"/>
    </row>
    <row r="111" spans="1:9" x14ac:dyDescent="0.25">
      <c r="A111" s="706">
        <v>100</v>
      </c>
      <c r="B111" s="410" t="s">
        <v>213</v>
      </c>
      <c r="C111" s="651" t="s">
        <v>214</v>
      </c>
      <c r="D111" s="649">
        <v>4050</v>
      </c>
      <c r="E111" s="151">
        <v>2082</v>
      </c>
      <c r="F111" s="406">
        <v>719</v>
      </c>
      <c r="G111" s="796">
        <v>5540</v>
      </c>
      <c r="H111" s="650"/>
      <c r="I111" s="671"/>
    </row>
    <row r="112" spans="1:9" x14ac:dyDescent="0.25">
      <c r="A112" s="706">
        <v>101</v>
      </c>
      <c r="B112" s="408" t="s">
        <v>215</v>
      </c>
      <c r="C112" s="652" t="s">
        <v>216</v>
      </c>
      <c r="D112" s="649">
        <v>3504</v>
      </c>
      <c r="E112" s="151">
        <v>73</v>
      </c>
      <c r="F112" s="406"/>
      <c r="G112" s="796"/>
      <c r="H112" s="650"/>
      <c r="I112" s="671"/>
    </row>
    <row r="113" spans="1:9" x14ac:dyDescent="0.25">
      <c r="A113" s="706">
        <v>102</v>
      </c>
      <c r="B113" s="408" t="s">
        <v>217</v>
      </c>
      <c r="C113" s="648" t="s">
        <v>218</v>
      </c>
      <c r="D113" s="649"/>
      <c r="E113" s="151"/>
      <c r="F113" s="406"/>
      <c r="G113" s="796"/>
      <c r="H113" s="650"/>
      <c r="I113" s="671"/>
    </row>
    <row r="114" spans="1:9" x14ac:dyDescent="0.25">
      <c r="A114" s="706">
        <v>103</v>
      </c>
      <c r="B114" s="408" t="s">
        <v>219</v>
      </c>
      <c r="C114" s="648" t="s">
        <v>220</v>
      </c>
      <c r="D114" s="649"/>
      <c r="E114" s="151"/>
      <c r="F114" s="406"/>
      <c r="G114" s="796"/>
      <c r="H114" s="650"/>
      <c r="I114" s="671"/>
    </row>
    <row r="115" spans="1:9" x14ac:dyDescent="0.25">
      <c r="A115" s="706">
        <v>104</v>
      </c>
      <c r="B115" s="408" t="s">
        <v>221</v>
      </c>
      <c r="C115" s="648" t="s">
        <v>222</v>
      </c>
      <c r="D115" s="649"/>
      <c r="E115" s="151"/>
      <c r="F115" s="406"/>
      <c r="G115" s="796"/>
      <c r="H115" s="650"/>
      <c r="I115" s="671"/>
    </row>
    <row r="116" spans="1:9" x14ac:dyDescent="0.25">
      <c r="A116" s="706">
        <v>105</v>
      </c>
      <c r="B116" s="410" t="s">
        <v>223</v>
      </c>
      <c r="C116" s="651" t="s">
        <v>224</v>
      </c>
      <c r="D116" s="649"/>
      <c r="E116" s="151"/>
      <c r="F116" s="406"/>
      <c r="G116" s="796"/>
      <c r="H116" s="650"/>
      <c r="I116" s="671"/>
    </row>
    <row r="117" spans="1:9" x14ac:dyDescent="0.25">
      <c r="A117" s="706">
        <v>106</v>
      </c>
      <c r="B117" s="701" t="s">
        <v>225</v>
      </c>
      <c r="C117" s="652" t="s">
        <v>226</v>
      </c>
      <c r="D117" s="649"/>
      <c r="E117" s="151"/>
      <c r="F117" s="406"/>
      <c r="G117" s="796"/>
      <c r="H117" s="650"/>
      <c r="I117" s="671"/>
    </row>
    <row r="118" spans="1:9" x14ac:dyDescent="0.25">
      <c r="A118" s="706">
        <v>107</v>
      </c>
      <c r="B118" s="408" t="s">
        <v>227</v>
      </c>
      <c r="C118" s="648" t="s">
        <v>228</v>
      </c>
      <c r="D118" s="649"/>
      <c r="E118" s="151"/>
      <c r="F118" s="406"/>
      <c r="G118" s="796"/>
      <c r="H118" s="650"/>
      <c r="I118" s="671"/>
    </row>
    <row r="119" spans="1:9" x14ac:dyDescent="0.25">
      <c r="A119" s="706">
        <v>108</v>
      </c>
      <c r="B119" s="408" t="s">
        <v>229</v>
      </c>
      <c r="C119" s="648" t="s">
        <v>230</v>
      </c>
      <c r="D119" s="649"/>
      <c r="E119" s="151"/>
      <c r="F119" s="406"/>
      <c r="G119" s="796"/>
      <c r="H119" s="650"/>
      <c r="I119" s="671"/>
    </row>
    <row r="120" spans="1:9" x14ac:dyDescent="0.25">
      <c r="A120" s="706">
        <v>109</v>
      </c>
      <c r="B120" s="410" t="s">
        <v>231</v>
      </c>
      <c r="C120" s="651" t="s">
        <v>232</v>
      </c>
      <c r="D120" s="649"/>
      <c r="E120" s="151"/>
      <c r="F120" s="406"/>
      <c r="G120" s="796"/>
      <c r="H120" s="650"/>
      <c r="I120" s="671"/>
    </row>
    <row r="121" spans="1:9" x14ac:dyDescent="0.25">
      <c r="A121" s="706">
        <v>110</v>
      </c>
      <c r="B121" s="410" t="s">
        <v>233</v>
      </c>
      <c r="C121" s="651" t="s">
        <v>234</v>
      </c>
      <c r="D121" s="649"/>
      <c r="E121" s="151"/>
      <c r="F121" s="406"/>
      <c r="G121" s="796"/>
      <c r="H121" s="650"/>
      <c r="I121" s="671"/>
    </row>
    <row r="122" spans="1:9" x14ac:dyDescent="0.25">
      <c r="A122" s="706">
        <v>111</v>
      </c>
      <c r="B122" s="3" t="s">
        <v>235</v>
      </c>
      <c r="C122" s="648" t="s">
        <v>236</v>
      </c>
      <c r="D122" s="649"/>
      <c r="E122" s="151"/>
      <c r="F122" s="406"/>
      <c r="G122" s="796"/>
      <c r="H122" s="650"/>
      <c r="I122" s="671"/>
    </row>
    <row r="123" spans="1:9" x14ac:dyDescent="0.25">
      <c r="A123" s="706">
        <v>112</v>
      </c>
      <c r="B123" s="408" t="s">
        <v>237</v>
      </c>
      <c r="C123" s="648" t="s">
        <v>238</v>
      </c>
      <c r="D123" s="649"/>
      <c r="E123" s="151"/>
      <c r="F123" s="406"/>
      <c r="G123" s="796"/>
      <c r="H123" s="650"/>
      <c r="I123" s="671"/>
    </row>
    <row r="124" spans="1:9" x14ac:dyDescent="0.25">
      <c r="A124" s="706">
        <v>113</v>
      </c>
      <c r="B124" s="408" t="s">
        <v>239</v>
      </c>
      <c r="C124" s="651" t="s">
        <v>240</v>
      </c>
      <c r="D124" s="649"/>
      <c r="E124" s="151"/>
      <c r="F124" s="406"/>
      <c r="G124" s="796"/>
      <c r="H124" s="650"/>
      <c r="I124" s="671"/>
    </row>
    <row r="125" spans="1:9" x14ac:dyDescent="0.25">
      <c r="A125" s="706">
        <v>114</v>
      </c>
      <c r="B125" s="408" t="s">
        <v>241</v>
      </c>
      <c r="C125" s="648" t="s">
        <v>242</v>
      </c>
      <c r="D125" s="649"/>
      <c r="E125" s="151"/>
      <c r="F125" s="406"/>
      <c r="G125" s="796"/>
      <c r="H125" s="650"/>
      <c r="I125" s="671"/>
    </row>
    <row r="126" spans="1:9" x14ac:dyDescent="0.25">
      <c r="A126" s="706">
        <v>115</v>
      </c>
      <c r="B126" s="707" t="s">
        <v>243</v>
      </c>
      <c r="C126" s="656" t="s">
        <v>385</v>
      </c>
      <c r="D126" s="649"/>
      <c r="E126" s="151"/>
      <c r="F126" s="406"/>
      <c r="G126" s="796"/>
      <c r="H126" s="650"/>
      <c r="I126" s="671"/>
    </row>
    <row r="127" spans="1:9" x14ac:dyDescent="0.25">
      <c r="A127" s="706">
        <v>116</v>
      </c>
      <c r="B127" s="410" t="s">
        <v>244</v>
      </c>
      <c r="C127" s="651" t="s">
        <v>654</v>
      </c>
      <c r="D127" s="649"/>
      <c r="E127" s="151"/>
      <c r="F127" s="406"/>
      <c r="G127" s="796"/>
      <c r="H127" s="650"/>
      <c r="I127" s="671"/>
    </row>
    <row r="128" spans="1:9" x14ac:dyDescent="0.25">
      <c r="A128" s="706">
        <v>117</v>
      </c>
      <c r="B128" s="410" t="s">
        <v>246</v>
      </c>
      <c r="C128" s="651" t="s">
        <v>247</v>
      </c>
      <c r="D128" s="649"/>
      <c r="E128" s="151"/>
      <c r="F128" s="406"/>
      <c r="G128" s="796"/>
      <c r="H128" s="650"/>
      <c r="I128" s="671"/>
    </row>
    <row r="129" spans="1:9" x14ac:dyDescent="0.25">
      <c r="A129" s="706">
        <v>118</v>
      </c>
      <c r="B129" s="410" t="s">
        <v>248</v>
      </c>
      <c r="C129" s="651" t="s">
        <v>249</v>
      </c>
      <c r="D129" s="649"/>
      <c r="E129" s="151"/>
      <c r="F129" s="406"/>
      <c r="G129" s="796"/>
      <c r="H129" s="650"/>
      <c r="I129" s="671"/>
    </row>
    <row r="130" spans="1:9" x14ac:dyDescent="0.25">
      <c r="A130" s="706">
        <v>119</v>
      </c>
      <c r="B130" s="410" t="s">
        <v>250</v>
      </c>
      <c r="C130" s="651" t="s">
        <v>251</v>
      </c>
      <c r="D130" s="649"/>
      <c r="E130" s="151"/>
      <c r="F130" s="406"/>
      <c r="G130" s="796"/>
      <c r="H130" s="650"/>
      <c r="I130" s="671"/>
    </row>
    <row r="131" spans="1:9" x14ac:dyDescent="0.25">
      <c r="A131" s="706">
        <v>120</v>
      </c>
      <c r="B131" s="151" t="s">
        <v>252</v>
      </c>
      <c r="C131" s="659" t="s">
        <v>253</v>
      </c>
      <c r="D131" s="649"/>
      <c r="E131" s="151"/>
      <c r="F131" s="406"/>
      <c r="G131" s="796"/>
      <c r="H131" s="650"/>
      <c r="I131" s="671"/>
    </row>
    <row r="132" spans="1:9" x14ac:dyDescent="0.25">
      <c r="A132" s="706">
        <v>121</v>
      </c>
      <c r="B132" s="408" t="s">
        <v>254</v>
      </c>
      <c r="C132" s="648" t="s">
        <v>255</v>
      </c>
      <c r="D132" s="649"/>
      <c r="E132" s="151"/>
      <c r="F132" s="406"/>
      <c r="G132" s="796"/>
      <c r="H132" s="650"/>
      <c r="I132" s="671"/>
    </row>
    <row r="133" spans="1:9" x14ac:dyDescent="0.25">
      <c r="A133" s="706">
        <v>122</v>
      </c>
      <c r="B133" s="410" t="s">
        <v>256</v>
      </c>
      <c r="C133" s="651" t="s">
        <v>257</v>
      </c>
      <c r="D133" s="649"/>
      <c r="E133" s="151"/>
      <c r="F133" s="406"/>
      <c r="G133" s="796"/>
      <c r="H133" s="650"/>
      <c r="I133" s="671"/>
    </row>
    <row r="134" spans="1:9" x14ac:dyDescent="0.25">
      <c r="A134" s="706">
        <v>123</v>
      </c>
      <c r="B134" s="408" t="s">
        <v>258</v>
      </c>
      <c r="C134" s="651" t="s">
        <v>259</v>
      </c>
      <c r="D134" s="649"/>
      <c r="E134" s="151"/>
      <c r="F134" s="406"/>
      <c r="G134" s="796"/>
      <c r="H134" s="650"/>
      <c r="I134" s="671"/>
    </row>
    <row r="135" spans="1:9" x14ac:dyDescent="0.25">
      <c r="A135" s="706">
        <v>124</v>
      </c>
      <c r="B135" s="410" t="s">
        <v>260</v>
      </c>
      <c r="C135" s="651" t="s">
        <v>261</v>
      </c>
      <c r="D135" s="649"/>
      <c r="E135" s="151"/>
      <c r="F135" s="406"/>
      <c r="G135" s="796"/>
      <c r="H135" s="650"/>
      <c r="I135" s="671"/>
    </row>
    <row r="136" spans="1:9" x14ac:dyDescent="0.25">
      <c r="A136" s="706">
        <v>125</v>
      </c>
      <c r="B136" s="410" t="s">
        <v>262</v>
      </c>
      <c r="C136" s="651" t="s">
        <v>263</v>
      </c>
      <c r="D136" s="649"/>
      <c r="E136" s="151"/>
      <c r="F136" s="406"/>
      <c r="G136" s="796"/>
      <c r="H136" s="650"/>
      <c r="I136" s="671"/>
    </row>
    <row r="137" spans="1:9" x14ac:dyDescent="0.25">
      <c r="A137" s="706">
        <v>126</v>
      </c>
      <c r="B137" s="408" t="s">
        <v>264</v>
      </c>
      <c r="C137" s="651" t="s">
        <v>265</v>
      </c>
      <c r="D137" s="649"/>
      <c r="E137" s="151"/>
      <c r="F137" s="406"/>
      <c r="G137" s="796"/>
      <c r="H137" s="650"/>
      <c r="I137" s="671"/>
    </row>
    <row r="138" spans="1:9" x14ac:dyDescent="0.25">
      <c r="A138" s="706">
        <v>127</v>
      </c>
      <c r="B138" s="410" t="s">
        <v>266</v>
      </c>
      <c r="C138" s="651" t="s">
        <v>267</v>
      </c>
      <c r="D138" s="649"/>
      <c r="E138" s="151"/>
      <c r="F138" s="406"/>
      <c r="G138" s="796"/>
      <c r="H138" s="650"/>
      <c r="I138" s="671"/>
    </row>
    <row r="139" spans="1:9" x14ac:dyDescent="0.25">
      <c r="A139" s="706">
        <v>128</v>
      </c>
      <c r="B139" s="408" t="s">
        <v>268</v>
      </c>
      <c r="C139" s="648" t="s">
        <v>269</v>
      </c>
      <c r="D139" s="649"/>
      <c r="E139" s="151"/>
      <c r="F139" s="406"/>
      <c r="G139" s="796"/>
      <c r="H139" s="650"/>
      <c r="I139" s="671"/>
    </row>
    <row r="140" spans="1:9" x14ac:dyDescent="0.25">
      <c r="A140" s="706">
        <v>129</v>
      </c>
      <c r="B140" s="408" t="s">
        <v>270</v>
      </c>
      <c r="C140" s="648" t="s">
        <v>271</v>
      </c>
      <c r="D140" s="649"/>
      <c r="E140" s="151"/>
      <c r="F140" s="406"/>
      <c r="G140" s="796"/>
      <c r="H140" s="650"/>
      <c r="I140" s="671"/>
    </row>
    <row r="141" spans="1:9" x14ac:dyDescent="0.25">
      <c r="A141" s="706">
        <v>130</v>
      </c>
      <c r="B141" s="410" t="s">
        <v>272</v>
      </c>
      <c r="C141" s="651" t="s">
        <v>273</v>
      </c>
      <c r="D141" s="649"/>
      <c r="E141" s="151"/>
      <c r="F141" s="406"/>
      <c r="G141" s="796"/>
      <c r="H141" s="650"/>
      <c r="I141" s="671"/>
    </row>
    <row r="142" spans="1:9" x14ac:dyDescent="0.25">
      <c r="A142" s="706">
        <v>131</v>
      </c>
      <c r="B142" s="410" t="s">
        <v>274</v>
      </c>
      <c r="C142" s="651" t="s">
        <v>275</v>
      </c>
      <c r="D142" s="649"/>
      <c r="E142" s="151"/>
      <c r="F142" s="406"/>
      <c r="G142" s="796"/>
      <c r="H142" s="650"/>
      <c r="I142" s="671"/>
    </row>
    <row r="143" spans="1:9" x14ac:dyDescent="0.25">
      <c r="A143" s="706">
        <v>132</v>
      </c>
      <c r="B143" s="410" t="s">
        <v>276</v>
      </c>
      <c r="C143" s="651" t="s">
        <v>277</v>
      </c>
      <c r="D143" s="649"/>
      <c r="E143" s="151"/>
      <c r="F143" s="406"/>
      <c r="G143" s="796"/>
      <c r="H143" s="650"/>
      <c r="I143" s="671"/>
    </row>
    <row r="144" spans="1:9" x14ac:dyDescent="0.25">
      <c r="A144" s="706">
        <v>133</v>
      </c>
      <c r="B144" s="410" t="s">
        <v>278</v>
      </c>
      <c r="C144" s="651" t="s">
        <v>279</v>
      </c>
      <c r="D144" s="649">
        <v>9132</v>
      </c>
      <c r="E144" s="151">
        <v>1237</v>
      </c>
      <c r="F144" s="406"/>
      <c r="G144" s="796"/>
      <c r="H144" s="650"/>
      <c r="I144" s="671"/>
    </row>
    <row r="145" spans="1:9" x14ac:dyDescent="0.25">
      <c r="A145" s="706">
        <v>134</v>
      </c>
      <c r="B145" s="410" t="s">
        <v>280</v>
      </c>
      <c r="C145" s="651" t="s">
        <v>281</v>
      </c>
      <c r="D145" s="649"/>
      <c r="E145" s="151"/>
      <c r="F145" s="406"/>
      <c r="G145" s="796"/>
      <c r="H145" s="650"/>
      <c r="I145" s="671"/>
    </row>
    <row r="146" spans="1:9" x14ac:dyDescent="0.25">
      <c r="A146" s="706">
        <v>135</v>
      </c>
      <c r="B146" s="408" t="s">
        <v>282</v>
      </c>
      <c r="C146" s="648" t="s">
        <v>283</v>
      </c>
      <c r="D146" s="649"/>
      <c r="E146" s="151"/>
      <c r="F146" s="406"/>
      <c r="G146" s="796"/>
      <c r="H146" s="650"/>
      <c r="I146" s="671"/>
    </row>
    <row r="147" spans="1:9" x14ac:dyDescent="0.25">
      <c r="A147" s="706">
        <v>136</v>
      </c>
      <c r="B147" s="410" t="s">
        <v>284</v>
      </c>
      <c r="C147" s="651" t="s">
        <v>285</v>
      </c>
      <c r="D147" s="649"/>
      <c r="E147" s="151"/>
      <c r="F147" s="406"/>
      <c r="G147" s="796"/>
      <c r="H147" s="650"/>
      <c r="I147" s="671"/>
    </row>
    <row r="148" spans="1:9" x14ac:dyDescent="0.25">
      <c r="A148" s="706">
        <v>137</v>
      </c>
      <c r="B148" s="425" t="s">
        <v>387</v>
      </c>
      <c r="C148" s="655" t="s">
        <v>815</v>
      </c>
      <c r="D148" s="649">
        <v>145959</v>
      </c>
      <c r="E148" s="151">
        <v>31107</v>
      </c>
      <c r="F148" s="675">
        <v>5121</v>
      </c>
      <c r="G148" s="670">
        <v>114955</v>
      </c>
      <c r="H148" s="649">
        <v>568</v>
      </c>
      <c r="I148" s="671">
        <v>6820</v>
      </c>
    </row>
    <row r="149" spans="1:9" x14ac:dyDescent="0.25">
      <c r="A149" s="706">
        <v>138</v>
      </c>
      <c r="B149" s="426" t="s">
        <v>389</v>
      </c>
      <c r="C149" s="660" t="s">
        <v>390</v>
      </c>
      <c r="D149" s="649"/>
      <c r="E149" s="151"/>
      <c r="F149" s="406"/>
      <c r="G149" s="796"/>
      <c r="H149" s="650"/>
      <c r="I149" s="671"/>
    </row>
    <row r="150" spans="1:9" x14ac:dyDescent="0.25">
      <c r="A150" s="706">
        <v>139</v>
      </c>
      <c r="B150" s="425" t="s">
        <v>391</v>
      </c>
      <c r="C150" s="655" t="s">
        <v>392</v>
      </c>
      <c r="D150" s="649"/>
      <c r="E150" s="151"/>
      <c r="F150" s="406"/>
      <c r="G150" s="796"/>
      <c r="H150" s="650"/>
      <c r="I150" s="671"/>
    </row>
    <row r="151" spans="1:9" ht="12.75" thickBot="1" x14ac:dyDescent="0.3">
      <c r="A151" s="430">
        <v>140</v>
      </c>
      <c r="B151" s="431" t="s">
        <v>393</v>
      </c>
      <c r="C151" s="661" t="s">
        <v>394</v>
      </c>
      <c r="D151" s="537"/>
      <c r="E151" s="534"/>
      <c r="F151" s="662"/>
      <c r="G151" s="797"/>
      <c r="H151" s="663"/>
      <c r="I151" s="676"/>
    </row>
    <row r="152" spans="1:9" x14ac:dyDescent="0.25">
      <c r="A152" s="1243" t="s">
        <v>816</v>
      </c>
      <c r="B152" s="1244"/>
      <c r="C152" s="1244"/>
    </row>
    <row r="153" spans="1:9" x14ac:dyDescent="0.25">
      <c r="A153" s="1245"/>
      <c r="B153" s="1245"/>
      <c r="C153" s="1245"/>
    </row>
  </sheetData>
  <mergeCells count="14">
    <mergeCell ref="A152:C153"/>
    <mergeCell ref="A5:C5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55"/>
  <sheetViews>
    <sheetView zoomScaleNormal="100" workbookViewId="0">
      <pane xSplit="3" ySplit="7" topLeftCell="D135" activePane="bottomRight" state="frozen"/>
      <selection pane="topRight" activeCell="D1" sqref="D1"/>
      <selection pane="bottomLeft" activeCell="A8" sqref="A8"/>
      <selection pane="bottomRight" activeCell="N162" sqref="N162"/>
    </sheetView>
  </sheetViews>
  <sheetFormatPr defaultRowHeight="12" x14ac:dyDescent="0.25"/>
  <cols>
    <col min="1" max="1" width="4.5703125" style="147" customWidth="1"/>
    <col min="2" max="2" width="8.140625" style="147" customWidth="1"/>
    <col min="3" max="3" width="29.28515625" style="148" customWidth="1"/>
    <col min="4" max="4" width="10.28515625" style="149" customWidth="1"/>
    <col min="5" max="5" width="8.7109375" style="149" customWidth="1"/>
    <col min="6" max="6" width="12" style="149" customWidth="1"/>
    <col min="7" max="7" width="8.7109375" style="150" customWidth="1"/>
    <col min="8" max="8" width="10.28515625" style="149" customWidth="1"/>
    <col min="9" max="9" width="7.85546875" style="149" customWidth="1"/>
    <col min="10" max="10" width="8.5703125" style="149" customWidth="1"/>
    <col min="11" max="12" width="9" style="149" customWidth="1"/>
    <col min="13" max="13" width="7.42578125" style="149" customWidth="1"/>
    <col min="14" max="14" width="8" style="149" customWidth="1"/>
    <col min="15" max="16384" width="9.140625" style="147"/>
  </cols>
  <sheetData>
    <row r="1" spans="1:14" ht="15.75" x14ac:dyDescent="0.25">
      <c r="A1" s="1162" t="s">
        <v>633</v>
      </c>
      <c r="B1" s="1234"/>
      <c r="C1" s="1234"/>
      <c r="D1" s="1234"/>
      <c r="E1" s="1234"/>
      <c r="F1" s="1234"/>
      <c r="G1" s="1234"/>
      <c r="H1" s="1234"/>
      <c r="I1" s="1234"/>
      <c r="J1" s="1234"/>
      <c r="K1" s="1234"/>
      <c r="L1" s="1234"/>
      <c r="M1" s="1234"/>
      <c r="N1" s="1234"/>
    </row>
    <row r="2" spans="1:14" ht="12.75" thickBot="1" x14ac:dyDescent="0.3"/>
    <row r="3" spans="1:14" s="530" customFormat="1" ht="15" customHeight="1" x14ac:dyDescent="0.25">
      <c r="A3" s="1202" t="s">
        <v>0</v>
      </c>
      <c r="B3" s="1205" t="s">
        <v>603</v>
      </c>
      <c r="C3" s="1208" t="s">
        <v>292</v>
      </c>
      <c r="D3" s="1253" t="s">
        <v>613</v>
      </c>
      <c r="E3" s="1197"/>
      <c r="F3" s="1197"/>
      <c r="G3" s="1197"/>
      <c r="H3" s="1197"/>
      <c r="I3" s="1261"/>
      <c r="J3" s="1262"/>
      <c r="K3" s="1196" t="s">
        <v>623</v>
      </c>
      <c r="L3" s="1250"/>
      <c r="M3" s="1253" t="s">
        <v>624</v>
      </c>
      <c r="N3" s="1254"/>
    </row>
    <row r="4" spans="1:14" s="530" customFormat="1" ht="24.75" customHeight="1" x14ac:dyDescent="0.25">
      <c r="A4" s="1203"/>
      <c r="B4" s="1206"/>
      <c r="C4" s="1209"/>
      <c r="D4" s="1257" t="s">
        <v>289</v>
      </c>
      <c r="E4" s="1258"/>
      <c r="F4" s="1207"/>
      <c r="G4" s="1207"/>
      <c r="H4" s="1258" t="s">
        <v>607</v>
      </c>
      <c r="I4" s="1259"/>
      <c r="J4" s="1260"/>
      <c r="K4" s="1251"/>
      <c r="L4" s="1252"/>
      <c r="M4" s="1255"/>
      <c r="N4" s="1256"/>
    </row>
    <row r="5" spans="1:14" ht="40.5" customHeight="1" x14ac:dyDescent="0.25">
      <c r="A5" s="1203"/>
      <c r="B5" s="1206"/>
      <c r="C5" s="1209"/>
      <c r="D5" s="646" t="s">
        <v>629</v>
      </c>
      <c r="E5" s="708" t="s">
        <v>630</v>
      </c>
      <c r="F5" s="708" t="s">
        <v>634</v>
      </c>
      <c r="G5" s="146" t="s">
        <v>6</v>
      </c>
      <c r="H5" s="708" t="s">
        <v>629</v>
      </c>
      <c r="I5" s="708" t="s">
        <v>630</v>
      </c>
      <c r="J5" s="778" t="s">
        <v>6</v>
      </c>
      <c r="K5" s="794" t="s">
        <v>631</v>
      </c>
      <c r="L5" s="779" t="s">
        <v>609</v>
      </c>
      <c r="M5" s="646" t="s">
        <v>610</v>
      </c>
      <c r="N5" s="647" t="s">
        <v>632</v>
      </c>
    </row>
    <row r="6" spans="1:14" ht="12.75" thickBot="1" x14ac:dyDescent="0.3">
      <c r="A6" s="703">
        <v>1</v>
      </c>
      <c r="B6" s="704">
        <v>2</v>
      </c>
      <c r="C6" s="705">
        <v>3</v>
      </c>
      <c r="D6" s="780">
        <v>4</v>
      </c>
      <c r="E6" s="781">
        <v>5</v>
      </c>
      <c r="F6" s="781">
        <v>6</v>
      </c>
      <c r="G6" s="781">
        <v>7</v>
      </c>
      <c r="H6" s="781">
        <v>8</v>
      </c>
      <c r="I6" s="781">
        <v>9</v>
      </c>
      <c r="J6" s="782">
        <v>10</v>
      </c>
      <c r="K6" s="783">
        <v>11</v>
      </c>
      <c r="L6" s="784">
        <v>12</v>
      </c>
      <c r="M6" s="780">
        <v>13</v>
      </c>
      <c r="N6" s="782">
        <v>14</v>
      </c>
    </row>
    <row r="7" spans="1:14" x14ac:dyDescent="0.25">
      <c r="A7" s="1263" t="s">
        <v>6</v>
      </c>
      <c r="B7" s="1264"/>
      <c r="C7" s="1265"/>
      <c r="D7" s="785">
        <f>SUM(D8:D10)</f>
        <v>219495</v>
      </c>
      <c r="E7" s="666">
        <f t="shared" ref="E7:N7" si="0">SUM(E8:E10)</f>
        <v>419945</v>
      </c>
      <c r="F7" s="666">
        <f t="shared" si="0"/>
        <v>99924</v>
      </c>
      <c r="G7" s="666">
        <f t="shared" si="0"/>
        <v>739364</v>
      </c>
      <c r="H7" s="666">
        <f t="shared" si="0"/>
        <v>36592</v>
      </c>
      <c r="I7" s="666">
        <f t="shared" si="0"/>
        <v>151965</v>
      </c>
      <c r="J7" s="669">
        <f t="shared" si="0"/>
        <v>188557</v>
      </c>
      <c r="K7" s="665">
        <f t="shared" si="0"/>
        <v>6603</v>
      </c>
      <c r="L7" s="786">
        <f t="shared" si="0"/>
        <v>526204</v>
      </c>
      <c r="M7" s="785">
        <f t="shared" si="0"/>
        <v>799</v>
      </c>
      <c r="N7" s="669">
        <f t="shared" si="0"/>
        <v>41540</v>
      </c>
    </row>
    <row r="8" spans="1:14" x14ac:dyDescent="0.25">
      <c r="A8" s="1185" t="s">
        <v>14</v>
      </c>
      <c r="B8" s="1186"/>
      <c r="C8" s="1187"/>
      <c r="D8" s="531"/>
      <c r="E8" s="151"/>
      <c r="F8" s="151"/>
      <c r="G8" s="152">
        <f t="shared" ref="G8:G9" si="1">SUM(D8:F8)</f>
        <v>0</v>
      </c>
      <c r="H8" s="151"/>
      <c r="I8" s="151"/>
      <c r="J8" s="528">
        <f t="shared" ref="J8:J9" si="2">SUM(H8:I8)</f>
        <v>0</v>
      </c>
      <c r="K8" s="649"/>
      <c r="L8" s="787"/>
      <c r="M8" s="531"/>
      <c r="N8" s="671"/>
    </row>
    <row r="9" spans="1:14" x14ac:dyDescent="0.25">
      <c r="A9" s="1185" t="s">
        <v>445</v>
      </c>
      <c r="B9" s="1186"/>
      <c r="C9" s="1187"/>
      <c r="D9" s="531"/>
      <c r="E9" s="151"/>
      <c r="F9" s="151"/>
      <c r="G9" s="152">
        <f t="shared" si="1"/>
        <v>0</v>
      </c>
      <c r="H9" s="151"/>
      <c r="I9" s="151"/>
      <c r="J9" s="528">
        <f t="shared" si="2"/>
        <v>0</v>
      </c>
      <c r="K9" s="649"/>
      <c r="L9" s="787"/>
      <c r="M9" s="531"/>
      <c r="N9" s="671"/>
    </row>
    <row r="10" spans="1:14" x14ac:dyDescent="0.25">
      <c r="A10" s="1185" t="s">
        <v>15</v>
      </c>
      <c r="B10" s="1186"/>
      <c r="C10" s="1187"/>
      <c r="D10" s="529">
        <f>SUM(D11:D153)-D93</f>
        <v>219495</v>
      </c>
      <c r="E10" s="152">
        <f t="shared" ref="E10:N10" si="3">SUM(E11:E153)-E93</f>
        <v>419945</v>
      </c>
      <c r="F10" s="152">
        <f t="shared" si="3"/>
        <v>99924</v>
      </c>
      <c r="G10" s="152">
        <f t="shared" si="3"/>
        <v>739364</v>
      </c>
      <c r="H10" s="152">
        <f t="shared" si="3"/>
        <v>36592</v>
      </c>
      <c r="I10" s="152">
        <f t="shared" si="3"/>
        <v>151965</v>
      </c>
      <c r="J10" s="528">
        <f t="shared" si="3"/>
        <v>188557</v>
      </c>
      <c r="K10" s="672">
        <f t="shared" si="3"/>
        <v>6603</v>
      </c>
      <c r="L10" s="700">
        <f t="shared" si="3"/>
        <v>526204</v>
      </c>
      <c r="M10" s="529">
        <f t="shared" si="3"/>
        <v>799</v>
      </c>
      <c r="N10" s="528">
        <f t="shared" si="3"/>
        <v>41540</v>
      </c>
    </row>
    <row r="11" spans="1:14" x14ac:dyDescent="0.25">
      <c r="A11" s="706">
        <v>1</v>
      </c>
      <c r="B11" s="408" t="s">
        <v>16</v>
      </c>
      <c r="C11" s="409" t="s">
        <v>17</v>
      </c>
      <c r="D11" s="531">
        <v>2850</v>
      </c>
      <c r="E11" s="151"/>
      <c r="F11" s="151"/>
      <c r="G11" s="152">
        <f>SUM(D11:F11)</f>
        <v>2850</v>
      </c>
      <c r="H11" s="151">
        <v>475</v>
      </c>
      <c r="I11" s="151"/>
      <c r="J11" s="528">
        <f>SUM(H11:I11)</f>
        <v>475</v>
      </c>
      <c r="K11" s="649"/>
      <c r="L11" s="787"/>
      <c r="M11" s="531"/>
      <c r="N11" s="671"/>
    </row>
    <row r="12" spans="1:14" x14ac:dyDescent="0.25">
      <c r="A12" s="706">
        <v>2</v>
      </c>
      <c r="B12" s="408" t="s">
        <v>18</v>
      </c>
      <c r="C12" s="409" t="s">
        <v>19</v>
      </c>
      <c r="D12" s="531">
        <v>5458</v>
      </c>
      <c r="E12" s="151"/>
      <c r="F12" s="151"/>
      <c r="G12" s="152">
        <f t="shared" ref="G12:G75" si="4">SUM(D12:F12)</f>
        <v>5458</v>
      </c>
      <c r="H12" s="151">
        <v>912</v>
      </c>
      <c r="I12" s="151"/>
      <c r="J12" s="528">
        <f t="shared" ref="J12:J75" si="5">SUM(H12:I12)</f>
        <v>912</v>
      </c>
      <c r="K12" s="649"/>
      <c r="L12" s="787"/>
      <c r="M12" s="531"/>
      <c r="N12" s="671"/>
    </row>
    <row r="13" spans="1:14" x14ac:dyDescent="0.25">
      <c r="A13" s="706">
        <v>3</v>
      </c>
      <c r="B13" s="410" t="s">
        <v>20</v>
      </c>
      <c r="C13" s="411" t="s">
        <v>21</v>
      </c>
      <c r="D13" s="531"/>
      <c r="E13" s="151"/>
      <c r="F13" s="151"/>
      <c r="G13" s="152">
        <f t="shared" si="4"/>
        <v>0</v>
      </c>
      <c r="H13" s="151"/>
      <c r="I13" s="151"/>
      <c r="J13" s="528">
        <f t="shared" si="5"/>
        <v>0</v>
      </c>
      <c r="K13" s="649"/>
      <c r="L13" s="787"/>
      <c r="M13" s="531"/>
      <c r="N13" s="671"/>
    </row>
    <row r="14" spans="1:14" x14ac:dyDescent="0.25">
      <c r="A14" s="706">
        <v>4</v>
      </c>
      <c r="B14" s="408" t="s">
        <v>22</v>
      </c>
      <c r="C14" s="409" t="s">
        <v>23</v>
      </c>
      <c r="D14" s="531">
        <v>2250</v>
      </c>
      <c r="E14" s="151"/>
      <c r="F14" s="151"/>
      <c r="G14" s="152">
        <f t="shared" si="4"/>
        <v>2250</v>
      </c>
      <c r="H14" s="151">
        <v>375</v>
      </c>
      <c r="I14" s="151"/>
      <c r="J14" s="528">
        <f t="shared" si="5"/>
        <v>375</v>
      </c>
      <c r="K14" s="649"/>
      <c r="L14" s="787"/>
      <c r="M14" s="531"/>
      <c r="N14" s="671"/>
    </row>
    <row r="15" spans="1:14" x14ac:dyDescent="0.25">
      <c r="A15" s="706">
        <v>5</v>
      </c>
      <c r="B15" s="408" t="s">
        <v>24</v>
      </c>
      <c r="C15" s="409" t="s">
        <v>25</v>
      </c>
      <c r="D15" s="531">
        <v>3000</v>
      </c>
      <c r="E15" s="151"/>
      <c r="F15" s="151"/>
      <c r="G15" s="152">
        <f t="shared" si="4"/>
        <v>3000</v>
      </c>
      <c r="H15" s="151">
        <v>500</v>
      </c>
      <c r="I15" s="151"/>
      <c r="J15" s="528">
        <f t="shared" si="5"/>
        <v>500</v>
      </c>
      <c r="K15" s="649"/>
      <c r="L15" s="787"/>
      <c r="M15" s="531"/>
      <c r="N15" s="671"/>
    </row>
    <row r="16" spans="1:14" x14ac:dyDescent="0.25">
      <c r="A16" s="706">
        <v>6</v>
      </c>
      <c r="B16" s="410" t="s">
        <v>26</v>
      </c>
      <c r="C16" s="411" t="s">
        <v>27</v>
      </c>
      <c r="D16" s="531">
        <v>1500</v>
      </c>
      <c r="E16" s="151"/>
      <c r="F16" s="151"/>
      <c r="G16" s="152">
        <f t="shared" si="4"/>
        <v>1500</v>
      </c>
      <c r="H16" s="151">
        <v>250</v>
      </c>
      <c r="I16" s="151"/>
      <c r="J16" s="528">
        <f t="shared" si="5"/>
        <v>250</v>
      </c>
      <c r="K16" s="649"/>
      <c r="L16" s="787"/>
      <c r="M16" s="531"/>
      <c r="N16" s="671"/>
    </row>
    <row r="17" spans="1:14" x14ac:dyDescent="0.25">
      <c r="A17" s="706">
        <v>7</v>
      </c>
      <c r="B17" s="701" t="s">
        <v>28</v>
      </c>
      <c r="C17" s="412" t="s">
        <v>29</v>
      </c>
      <c r="D17" s="531">
        <v>5625</v>
      </c>
      <c r="E17" s="151"/>
      <c r="F17" s="151"/>
      <c r="G17" s="152">
        <f t="shared" si="4"/>
        <v>5625</v>
      </c>
      <c r="H17" s="151">
        <v>938</v>
      </c>
      <c r="I17" s="151"/>
      <c r="J17" s="528">
        <f t="shared" si="5"/>
        <v>938</v>
      </c>
      <c r="K17" s="649"/>
      <c r="L17" s="787"/>
      <c r="M17" s="531"/>
      <c r="N17" s="671"/>
    </row>
    <row r="18" spans="1:14" x14ac:dyDescent="0.25">
      <c r="A18" s="706">
        <v>8</v>
      </c>
      <c r="B18" s="410" t="s">
        <v>30</v>
      </c>
      <c r="C18" s="411" t="s">
        <v>31</v>
      </c>
      <c r="D18" s="531">
        <v>3375</v>
      </c>
      <c r="E18" s="151"/>
      <c r="F18" s="151"/>
      <c r="G18" s="152">
        <f t="shared" si="4"/>
        <v>3375</v>
      </c>
      <c r="H18" s="151">
        <v>562</v>
      </c>
      <c r="I18" s="151"/>
      <c r="J18" s="528">
        <f t="shared" si="5"/>
        <v>562</v>
      </c>
      <c r="K18" s="649"/>
      <c r="L18" s="787"/>
      <c r="M18" s="531"/>
      <c r="N18" s="671"/>
    </row>
    <row r="19" spans="1:14" x14ac:dyDescent="0.25">
      <c r="A19" s="706">
        <v>9</v>
      </c>
      <c r="B19" s="410" t="s">
        <v>32</v>
      </c>
      <c r="C19" s="411" t="s">
        <v>33</v>
      </c>
      <c r="D19" s="531">
        <v>3750</v>
      </c>
      <c r="E19" s="151"/>
      <c r="F19" s="151"/>
      <c r="G19" s="152">
        <f t="shared" si="4"/>
        <v>3750</v>
      </c>
      <c r="H19" s="151">
        <v>625</v>
      </c>
      <c r="I19" s="151"/>
      <c r="J19" s="528">
        <f t="shared" si="5"/>
        <v>625</v>
      </c>
      <c r="K19" s="649"/>
      <c r="L19" s="787"/>
      <c r="M19" s="531"/>
      <c r="N19" s="671"/>
    </row>
    <row r="20" spans="1:14" x14ac:dyDescent="0.25">
      <c r="A20" s="706">
        <v>10</v>
      </c>
      <c r="B20" s="410" t="s">
        <v>34</v>
      </c>
      <c r="C20" s="411" t="s">
        <v>35</v>
      </c>
      <c r="D20" s="531">
        <v>2625</v>
      </c>
      <c r="E20" s="151"/>
      <c r="F20" s="151"/>
      <c r="G20" s="152">
        <f t="shared" si="4"/>
        <v>2625</v>
      </c>
      <c r="H20" s="151">
        <v>438</v>
      </c>
      <c r="I20" s="151"/>
      <c r="J20" s="528">
        <f t="shared" si="5"/>
        <v>438</v>
      </c>
      <c r="K20" s="649"/>
      <c r="L20" s="787"/>
      <c r="M20" s="531"/>
      <c r="N20" s="671"/>
    </row>
    <row r="21" spans="1:14" x14ac:dyDescent="0.25">
      <c r="A21" s="706">
        <v>11</v>
      </c>
      <c r="B21" s="410" t="s">
        <v>36</v>
      </c>
      <c r="C21" s="411" t="s">
        <v>37</v>
      </c>
      <c r="D21" s="531">
        <v>3418</v>
      </c>
      <c r="E21" s="151"/>
      <c r="F21" s="151"/>
      <c r="G21" s="152">
        <f t="shared" si="4"/>
        <v>3418</v>
      </c>
      <c r="H21" s="151">
        <v>569</v>
      </c>
      <c r="I21" s="151"/>
      <c r="J21" s="528">
        <f t="shared" si="5"/>
        <v>569</v>
      </c>
      <c r="K21" s="649"/>
      <c r="L21" s="787"/>
      <c r="M21" s="531"/>
      <c r="N21" s="671"/>
    </row>
    <row r="22" spans="1:14" x14ac:dyDescent="0.25">
      <c r="A22" s="706">
        <v>12</v>
      </c>
      <c r="B22" s="410" t="s">
        <v>38</v>
      </c>
      <c r="C22" s="411" t="s">
        <v>39</v>
      </c>
      <c r="D22" s="531">
        <v>6525</v>
      </c>
      <c r="E22" s="151"/>
      <c r="F22" s="151"/>
      <c r="G22" s="152">
        <f t="shared" si="4"/>
        <v>6525</v>
      </c>
      <c r="H22" s="151">
        <v>1088</v>
      </c>
      <c r="I22" s="151"/>
      <c r="J22" s="528">
        <f t="shared" si="5"/>
        <v>1088</v>
      </c>
      <c r="K22" s="649"/>
      <c r="L22" s="787"/>
      <c r="M22" s="531"/>
      <c r="N22" s="671"/>
    </row>
    <row r="23" spans="1:14" x14ac:dyDescent="0.25">
      <c r="A23" s="706">
        <v>13</v>
      </c>
      <c r="B23" s="413" t="s">
        <v>40</v>
      </c>
      <c r="C23" s="414" t="s">
        <v>41</v>
      </c>
      <c r="D23" s="531"/>
      <c r="E23" s="151"/>
      <c r="F23" s="151"/>
      <c r="G23" s="152">
        <f t="shared" si="4"/>
        <v>0</v>
      </c>
      <c r="H23" s="151"/>
      <c r="I23" s="151"/>
      <c r="J23" s="528">
        <f t="shared" si="5"/>
        <v>0</v>
      </c>
      <c r="K23" s="649"/>
      <c r="L23" s="787"/>
      <c r="M23" s="531"/>
      <c r="N23" s="671"/>
    </row>
    <row r="24" spans="1:14" x14ac:dyDescent="0.25">
      <c r="A24" s="706">
        <v>14</v>
      </c>
      <c r="B24" s="415" t="s">
        <v>42</v>
      </c>
      <c r="C24" s="416" t="s">
        <v>43</v>
      </c>
      <c r="D24" s="531"/>
      <c r="E24" s="151"/>
      <c r="F24" s="151"/>
      <c r="G24" s="152">
        <f t="shared" si="4"/>
        <v>0</v>
      </c>
      <c r="H24" s="151"/>
      <c r="I24" s="151"/>
      <c r="J24" s="528">
        <f t="shared" si="5"/>
        <v>0</v>
      </c>
      <c r="K24" s="649"/>
      <c r="L24" s="787"/>
      <c r="M24" s="531"/>
      <c r="N24" s="671"/>
    </row>
    <row r="25" spans="1:14" x14ac:dyDescent="0.25">
      <c r="A25" s="706">
        <v>15</v>
      </c>
      <c r="B25" s="410" t="s">
        <v>44</v>
      </c>
      <c r="C25" s="411" t="s">
        <v>45</v>
      </c>
      <c r="D25" s="531">
        <v>4575</v>
      </c>
      <c r="E25" s="151"/>
      <c r="F25" s="151"/>
      <c r="G25" s="152">
        <f t="shared" si="4"/>
        <v>4575</v>
      </c>
      <c r="H25" s="151">
        <v>762</v>
      </c>
      <c r="I25" s="151"/>
      <c r="J25" s="528">
        <f t="shared" si="5"/>
        <v>762</v>
      </c>
      <c r="K25" s="649"/>
      <c r="L25" s="787"/>
      <c r="M25" s="531"/>
      <c r="N25" s="671"/>
    </row>
    <row r="26" spans="1:14" x14ac:dyDescent="0.25">
      <c r="A26" s="706">
        <v>16</v>
      </c>
      <c r="B26" s="410" t="s">
        <v>46</v>
      </c>
      <c r="C26" s="411" t="s">
        <v>47</v>
      </c>
      <c r="D26" s="531">
        <v>6000</v>
      </c>
      <c r="E26" s="151"/>
      <c r="F26" s="151"/>
      <c r="G26" s="152">
        <f t="shared" si="4"/>
        <v>6000</v>
      </c>
      <c r="H26" s="151">
        <v>1000</v>
      </c>
      <c r="I26" s="151"/>
      <c r="J26" s="528">
        <f t="shared" si="5"/>
        <v>1000</v>
      </c>
      <c r="K26" s="649"/>
      <c r="L26" s="787"/>
      <c r="M26" s="531"/>
      <c r="N26" s="671"/>
    </row>
    <row r="27" spans="1:14" x14ac:dyDescent="0.25">
      <c r="A27" s="706">
        <v>17</v>
      </c>
      <c r="B27" s="410" t="s">
        <v>48</v>
      </c>
      <c r="C27" s="411" t="s">
        <v>49</v>
      </c>
      <c r="D27" s="531">
        <v>7500</v>
      </c>
      <c r="E27" s="151"/>
      <c r="F27" s="151"/>
      <c r="G27" s="152">
        <f t="shared" si="4"/>
        <v>7500</v>
      </c>
      <c r="H27" s="151">
        <v>1250</v>
      </c>
      <c r="I27" s="151"/>
      <c r="J27" s="528">
        <f t="shared" si="5"/>
        <v>1250</v>
      </c>
      <c r="K27" s="649"/>
      <c r="L27" s="787"/>
      <c r="M27" s="531"/>
      <c r="N27" s="671"/>
    </row>
    <row r="28" spans="1:14" x14ac:dyDescent="0.25">
      <c r="A28" s="706">
        <v>18</v>
      </c>
      <c r="B28" s="410" t="s">
        <v>50</v>
      </c>
      <c r="C28" s="411" t="s">
        <v>51</v>
      </c>
      <c r="D28" s="531"/>
      <c r="E28" s="151"/>
      <c r="F28" s="151"/>
      <c r="G28" s="152">
        <f t="shared" si="4"/>
        <v>0</v>
      </c>
      <c r="H28" s="151"/>
      <c r="I28" s="151"/>
      <c r="J28" s="528">
        <f t="shared" si="5"/>
        <v>0</v>
      </c>
      <c r="K28" s="649"/>
      <c r="L28" s="787"/>
      <c r="M28" s="531"/>
      <c r="N28" s="671"/>
    </row>
    <row r="29" spans="1:14" x14ac:dyDescent="0.25">
      <c r="A29" s="706">
        <v>19</v>
      </c>
      <c r="B29" s="408" t="s">
        <v>52</v>
      </c>
      <c r="C29" s="409" t="s">
        <v>53</v>
      </c>
      <c r="D29" s="531">
        <v>2250</v>
      </c>
      <c r="E29" s="151"/>
      <c r="F29" s="151"/>
      <c r="G29" s="152">
        <f t="shared" si="4"/>
        <v>2250</v>
      </c>
      <c r="H29" s="151">
        <v>375</v>
      </c>
      <c r="I29" s="151"/>
      <c r="J29" s="528">
        <f t="shared" si="5"/>
        <v>375</v>
      </c>
      <c r="K29" s="649"/>
      <c r="L29" s="787"/>
      <c r="M29" s="531"/>
      <c r="N29" s="671"/>
    </row>
    <row r="30" spans="1:14" x14ac:dyDescent="0.25">
      <c r="A30" s="706">
        <v>20</v>
      </c>
      <c r="B30" s="408" t="s">
        <v>54</v>
      </c>
      <c r="C30" s="409" t="s">
        <v>55</v>
      </c>
      <c r="D30" s="531">
        <v>2250</v>
      </c>
      <c r="E30" s="151"/>
      <c r="F30" s="151"/>
      <c r="G30" s="152">
        <f t="shared" si="4"/>
        <v>2250</v>
      </c>
      <c r="H30" s="151">
        <v>375</v>
      </c>
      <c r="I30" s="151"/>
      <c r="J30" s="528">
        <f t="shared" si="5"/>
        <v>375</v>
      </c>
      <c r="K30" s="649"/>
      <c r="L30" s="787"/>
      <c r="M30" s="531"/>
      <c r="N30" s="671"/>
    </row>
    <row r="31" spans="1:14" x14ac:dyDescent="0.25">
      <c r="A31" s="706">
        <v>21</v>
      </c>
      <c r="B31" s="408" t="s">
        <v>56</v>
      </c>
      <c r="C31" s="409" t="s">
        <v>57</v>
      </c>
      <c r="D31" s="531">
        <v>5250</v>
      </c>
      <c r="E31" s="151"/>
      <c r="F31" s="151"/>
      <c r="G31" s="152">
        <f t="shared" si="4"/>
        <v>5250</v>
      </c>
      <c r="H31" s="151">
        <v>875</v>
      </c>
      <c r="I31" s="151"/>
      <c r="J31" s="528">
        <f t="shared" si="5"/>
        <v>875</v>
      </c>
      <c r="K31" s="649"/>
      <c r="L31" s="787"/>
      <c r="M31" s="531"/>
      <c r="N31" s="671"/>
    </row>
    <row r="32" spans="1:14" x14ac:dyDescent="0.25">
      <c r="A32" s="706">
        <v>22</v>
      </c>
      <c r="B32" s="408" t="s">
        <v>58</v>
      </c>
      <c r="C32" s="409" t="s">
        <v>59</v>
      </c>
      <c r="D32" s="531"/>
      <c r="E32" s="151"/>
      <c r="F32" s="151"/>
      <c r="G32" s="152">
        <f t="shared" si="4"/>
        <v>0</v>
      </c>
      <c r="H32" s="151"/>
      <c r="I32" s="151"/>
      <c r="J32" s="528">
        <f t="shared" si="5"/>
        <v>0</v>
      </c>
      <c r="K32" s="649"/>
      <c r="L32" s="787"/>
      <c r="M32" s="531"/>
      <c r="N32" s="671"/>
    </row>
    <row r="33" spans="1:14" x14ac:dyDescent="0.25">
      <c r="A33" s="706">
        <v>23</v>
      </c>
      <c r="B33" s="410" t="s">
        <v>60</v>
      </c>
      <c r="C33" s="411" t="s">
        <v>61</v>
      </c>
      <c r="D33" s="531"/>
      <c r="E33" s="151"/>
      <c r="F33" s="151"/>
      <c r="G33" s="152">
        <f t="shared" si="4"/>
        <v>0</v>
      </c>
      <c r="H33" s="151"/>
      <c r="I33" s="151"/>
      <c r="J33" s="528">
        <f t="shared" si="5"/>
        <v>0</v>
      </c>
      <c r="K33" s="649"/>
      <c r="L33" s="787"/>
      <c r="M33" s="531"/>
      <c r="N33" s="671"/>
    </row>
    <row r="34" spans="1:14" x14ac:dyDescent="0.25">
      <c r="A34" s="706">
        <v>24</v>
      </c>
      <c r="B34" s="410" t="s">
        <v>62</v>
      </c>
      <c r="C34" s="411" t="s">
        <v>63</v>
      </c>
      <c r="D34" s="531"/>
      <c r="E34" s="151"/>
      <c r="F34" s="151"/>
      <c r="G34" s="152">
        <f t="shared" si="4"/>
        <v>0</v>
      </c>
      <c r="H34" s="151"/>
      <c r="I34" s="151"/>
      <c r="J34" s="528">
        <f t="shared" si="5"/>
        <v>0</v>
      </c>
      <c r="K34" s="649"/>
      <c r="L34" s="787"/>
      <c r="M34" s="531"/>
      <c r="N34" s="671"/>
    </row>
    <row r="35" spans="1:14" ht="24" x14ac:dyDescent="0.25">
      <c r="A35" s="706">
        <v>25</v>
      </c>
      <c r="B35" s="410" t="s">
        <v>64</v>
      </c>
      <c r="C35" s="411" t="s">
        <v>65</v>
      </c>
      <c r="D35" s="531"/>
      <c r="E35" s="151"/>
      <c r="F35" s="151"/>
      <c r="G35" s="152">
        <f t="shared" si="4"/>
        <v>0</v>
      </c>
      <c r="H35" s="151"/>
      <c r="I35" s="151"/>
      <c r="J35" s="528">
        <f t="shared" si="5"/>
        <v>0</v>
      </c>
      <c r="K35" s="649"/>
      <c r="L35" s="787"/>
      <c r="M35" s="531"/>
      <c r="N35" s="671"/>
    </row>
    <row r="36" spans="1:14" ht="12.75" x14ac:dyDescent="0.25">
      <c r="A36" s="706">
        <v>26</v>
      </c>
      <c r="B36" s="408" t="s">
        <v>66</v>
      </c>
      <c r="C36" s="412" t="s">
        <v>67</v>
      </c>
      <c r="D36" s="795">
        <f>0+3281</f>
        <v>3281</v>
      </c>
      <c r="E36" s="151"/>
      <c r="F36" s="151"/>
      <c r="G36" s="152">
        <f t="shared" si="4"/>
        <v>3281</v>
      </c>
      <c r="H36" s="765">
        <f>0+547</f>
        <v>547</v>
      </c>
      <c r="I36" s="151"/>
      <c r="J36" s="528">
        <f t="shared" si="5"/>
        <v>547</v>
      </c>
      <c r="K36" s="649"/>
      <c r="L36" s="787"/>
      <c r="M36" s="531"/>
      <c r="N36" s="671"/>
    </row>
    <row r="37" spans="1:14" ht="12.75" x14ac:dyDescent="0.25">
      <c r="A37" s="706">
        <v>27</v>
      </c>
      <c r="B37" s="410" t="s">
        <v>68</v>
      </c>
      <c r="C37" s="411" t="s">
        <v>69</v>
      </c>
      <c r="D37" s="795">
        <f>5625-3281</f>
        <v>2344</v>
      </c>
      <c r="E37" s="151"/>
      <c r="F37" s="151"/>
      <c r="G37" s="152">
        <f t="shared" si="4"/>
        <v>2344</v>
      </c>
      <c r="H37" s="765">
        <f>938-547</f>
        <v>391</v>
      </c>
      <c r="I37" s="151"/>
      <c r="J37" s="528">
        <f t="shared" si="5"/>
        <v>391</v>
      </c>
      <c r="K37" s="649"/>
      <c r="L37" s="787"/>
      <c r="M37" s="531"/>
      <c r="N37" s="671"/>
    </row>
    <row r="38" spans="1:14" x14ac:dyDescent="0.25">
      <c r="A38" s="706">
        <v>28</v>
      </c>
      <c r="B38" s="410" t="s">
        <v>70</v>
      </c>
      <c r="C38" s="411" t="s">
        <v>71</v>
      </c>
      <c r="D38" s="531"/>
      <c r="E38" s="151"/>
      <c r="F38" s="151"/>
      <c r="G38" s="152">
        <f t="shared" si="4"/>
        <v>0</v>
      </c>
      <c r="H38" s="151"/>
      <c r="I38" s="151"/>
      <c r="J38" s="528">
        <f t="shared" si="5"/>
        <v>0</v>
      </c>
      <c r="K38" s="649"/>
      <c r="L38" s="787"/>
      <c r="M38" s="531"/>
      <c r="N38" s="671"/>
    </row>
    <row r="39" spans="1:14" x14ac:dyDescent="0.25">
      <c r="A39" s="706">
        <v>29</v>
      </c>
      <c r="B39" s="408" t="s">
        <v>72</v>
      </c>
      <c r="C39" s="409" t="s">
        <v>73</v>
      </c>
      <c r="D39" s="531"/>
      <c r="E39" s="151"/>
      <c r="F39" s="151"/>
      <c r="G39" s="152">
        <f t="shared" si="4"/>
        <v>0</v>
      </c>
      <c r="H39" s="151"/>
      <c r="I39" s="151"/>
      <c r="J39" s="528">
        <f t="shared" si="5"/>
        <v>0</v>
      </c>
      <c r="K39" s="649"/>
      <c r="L39" s="787"/>
      <c r="M39" s="531"/>
      <c r="N39" s="671"/>
    </row>
    <row r="40" spans="1:14" ht="24" x14ac:dyDescent="0.25">
      <c r="A40" s="706">
        <v>30</v>
      </c>
      <c r="B40" s="408" t="s">
        <v>74</v>
      </c>
      <c r="C40" s="412" t="s">
        <v>377</v>
      </c>
      <c r="D40" s="531"/>
      <c r="E40" s="151"/>
      <c r="F40" s="151"/>
      <c r="G40" s="152">
        <f t="shared" si="4"/>
        <v>0</v>
      </c>
      <c r="H40" s="151"/>
      <c r="I40" s="151"/>
      <c r="J40" s="528">
        <f t="shared" si="5"/>
        <v>0</v>
      </c>
      <c r="K40" s="649"/>
      <c r="L40" s="787"/>
      <c r="M40" s="531"/>
      <c r="N40" s="671"/>
    </row>
    <row r="41" spans="1:14" ht="24" x14ac:dyDescent="0.25">
      <c r="A41" s="706">
        <v>31</v>
      </c>
      <c r="B41" s="408" t="s">
        <v>75</v>
      </c>
      <c r="C41" s="409" t="s">
        <v>76</v>
      </c>
      <c r="D41" s="531"/>
      <c r="E41" s="151"/>
      <c r="F41" s="151"/>
      <c r="G41" s="152">
        <f t="shared" si="4"/>
        <v>0</v>
      </c>
      <c r="H41" s="151"/>
      <c r="I41" s="151"/>
      <c r="J41" s="528">
        <f t="shared" si="5"/>
        <v>0</v>
      </c>
      <c r="K41" s="649"/>
      <c r="L41" s="787"/>
      <c r="M41" s="531"/>
      <c r="N41" s="671"/>
    </row>
    <row r="42" spans="1:14" x14ac:dyDescent="0.25">
      <c r="A42" s="706">
        <v>32</v>
      </c>
      <c r="B42" s="410" t="s">
        <v>77</v>
      </c>
      <c r="C42" s="411" t="s">
        <v>78</v>
      </c>
      <c r="D42" s="531"/>
      <c r="E42" s="151"/>
      <c r="F42" s="151"/>
      <c r="G42" s="152">
        <f t="shared" si="4"/>
        <v>0</v>
      </c>
      <c r="H42" s="151"/>
      <c r="I42" s="151"/>
      <c r="J42" s="528">
        <f t="shared" si="5"/>
        <v>0</v>
      </c>
      <c r="K42" s="649"/>
      <c r="L42" s="787"/>
      <c r="M42" s="531"/>
      <c r="N42" s="671"/>
    </row>
    <row r="43" spans="1:14" x14ac:dyDescent="0.25">
      <c r="A43" s="706">
        <v>33</v>
      </c>
      <c r="B43" s="408" t="s">
        <v>79</v>
      </c>
      <c r="C43" s="409" t="s">
        <v>80</v>
      </c>
      <c r="D43" s="531"/>
      <c r="E43" s="151"/>
      <c r="F43" s="151"/>
      <c r="G43" s="152">
        <f t="shared" si="4"/>
        <v>0</v>
      </c>
      <c r="H43" s="151"/>
      <c r="I43" s="151"/>
      <c r="J43" s="528">
        <f t="shared" si="5"/>
        <v>0</v>
      </c>
      <c r="K43" s="649"/>
      <c r="L43" s="787"/>
      <c r="M43" s="531"/>
      <c r="N43" s="671"/>
    </row>
    <row r="44" spans="1:14" x14ac:dyDescent="0.25">
      <c r="A44" s="706">
        <v>34</v>
      </c>
      <c r="B44" s="701" t="s">
        <v>81</v>
      </c>
      <c r="C44" s="412" t="s">
        <v>82</v>
      </c>
      <c r="D44" s="531">
        <v>3750</v>
      </c>
      <c r="E44" s="151"/>
      <c r="F44" s="151"/>
      <c r="G44" s="152">
        <f t="shared" si="4"/>
        <v>3750</v>
      </c>
      <c r="H44" s="151">
        <v>625</v>
      </c>
      <c r="I44" s="151"/>
      <c r="J44" s="528">
        <f t="shared" si="5"/>
        <v>625</v>
      </c>
      <c r="K44" s="649"/>
      <c r="L44" s="787"/>
      <c r="M44" s="531"/>
      <c r="N44" s="671"/>
    </row>
    <row r="45" spans="1:14" x14ac:dyDescent="0.25">
      <c r="A45" s="706">
        <v>35</v>
      </c>
      <c r="B45" s="408" t="s">
        <v>83</v>
      </c>
      <c r="C45" s="409" t="s">
        <v>84</v>
      </c>
      <c r="D45" s="531"/>
      <c r="E45" s="151"/>
      <c r="F45" s="151"/>
      <c r="G45" s="152">
        <f t="shared" si="4"/>
        <v>0</v>
      </c>
      <c r="H45" s="151"/>
      <c r="I45" s="151"/>
      <c r="J45" s="528">
        <f t="shared" si="5"/>
        <v>0</v>
      </c>
      <c r="K45" s="649"/>
      <c r="L45" s="787"/>
      <c r="M45" s="531"/>
      <c r="N45" s="671"/>
    </row>
    <row r="46" spans="1:14" x14ac:dyDescent="0.25">
      <c r="A46" s="706">
        <v>36</v>
      </c>
      <c r="B46" s="408" t="s">
        <v>85</v>
      </c>
      <c r="C46" s="409" t="s">
        <v>86</v>
      </c>
      <c r="D46" s="531">
        <v>3750</v>
      </c>
      <c r="E46" s="151"/>
      <c r="F46" s="151"/>
      <c r="G46" s="152">
        <f t="shared" si="4"/>
        <v>3750</v>
      </c>
      <c r="H46" s="151">
        <v>625</v>
      </c>
      <c r="I46" s="151"/>
      <c r="J46" s="528">
        <f t="shared" si="5"/>
        <v>625</v>
      </c>
      <c r="K46" s="649"/>
      <c r="L46" s="787"/>
      <c r="M46" s="531"/>
      <c r="N46" s="671"/>
    </row>
    <row r="47" spans="1:14" x14ac:dyDescent="0.25">
      <c r="A47" s="706">
        <v>37</v>
      </c>
      <c r="B47" s="410" t="s">
        <v>87</v>
      </c>
      <c r="C47" s="411" t="s">
        <v>88</v>
      </c>
      <c r="D47" s="531">
        <v>11250</v>
      </c>
      <c r="E47" s="151"/>
      <c r="F47" s="151"/>
      <c r="G47" s="152">
        <f t="shared" si="4"/>
        <v>11250</v>
      </c>
      <c r="H47" s="151">
        <v>1875</v>
      </c>
      <c r="I47" s="151"/>
      <c r="J47" s="528">
        <f t="shared" si="5"/>
        <v>1875</v>
      </c>
      <c r="K47" s="649"/>
      <c r="L47" s="787"/>
      <c r="M47" s="531"/>
      <c r="N47" s="671"/>
    </row>
    <row r="48" spans="1:14" x14ac:dyDescent="0.25">
      <c r="A48" s="706">
        <v>38</v>
      </c>
      <c r="B48" s="408" t="s">
        <v>89</v>
      </c>
      <c r="C48" s="409" t="s">
        <v>90</v>
      </c>
      <c r="D48" s="531">
        <v>3000</v>
      </c>
      <c r="E48" s="151"/>
      <c r="F48" s="151"/>
      <c r="G48" s="152">
        <f t="shared" si="4"/>
        <v>3000</v>
      </c>
      <c r="H48" s="151">
        <v>500</v>
      </c>
      <c r="I48" s="151"/>
      <c r="J48" s="528">
        <f t="shared" si="5"/>
        <v>500</v>
      </c>
      <c r="K48" s="649"/>
      <c r="L48" s="787"/>
      <c r="M48" s="531"/>
      <c r="N48" s="671"/>
    </row>
    <row r="49" spans="1:14" ht="20.25" customHeight="1" x14ac:dyDescent="0.25">
      <c r="A49" s="706">
        <v>39</v>
      </c>
      <c r="B49" s="408" t="s">
        <v>91</v>
      </c>
      <c r="C49" s="409" t="s">
        <v>92</v>
      </c>
      <c r="D49" s="531">
        <v>2700</v>
      </c>
      <c r="E49" s="151"/>
      <c r="F49" s="151"/>
      <c r="G49" s="152">
        <f t="shared" si="4"/>
        <v>2700</v>
      </c>
      <c r="H49" s="151">
        <v>450</v>
      </c>
      <c r="I49" s="151"/>
      <c r="J49" s="528">
        <f t="shared" si="5"/>
        <v>450</v>
      </c>
      <c r="K49" s="649"/>
      <c r="L49" s="787"/>
      <c r="M49" s="531"/>
      <c r="N49" s="671"/>
    </row>
    <row r="50" spans="1:14" x14ac:dyDescent="0.25">
      <c r="A50" s="706">
        <v>40</v>
      </c>
      <c r="B50" s="143" t="s">
        <v>93</v>
      </c>
      <c r="C50" s="417" t="s">
        <v>94</v>
      </c>
      <c r="D50" s="531">
        <v>5025</v>
      </c>
      <c r="E50" s="151"/>
      <c r="F50" s="151"/>
      <c r="G50" s="152">
        <f t="shared" si="4"/>
        <v>5025</v>
      </c>
      <c r="H50" s="151">
        <v>838</v>
      </c>
      <c r="I50" s="151"/>
      <c r="J50" s="528">
        <f t="shared" si="5"/>
        <v>838</v>
      </c>
      <c r="K50" s="649"/>
      <c r="L50" s="787"/>
      <c r="M50" s="531"/>
      <c r="N50" s="671"/>
    </row>
    <row r="51" spans="1:14" x14ac:dyDescent="0.25">
      <c r="A51" s="706">
        <v>41</v>
      </c>
      <c r="B51" s="408" t="s">
        <v>95</v>
      </c>
      <c r="C51" s="409" t="s">
        <v>96</v>
      </c>
      <c r="D51" s="531">
        <v>2819</v>
      </c>
      <c r="E51" s="151"/>
      <c r="F51" s="151"/>
      <c r="G51" s="152">
        <f t="shared" si="4"/>
        <v>2819</v>
      </c>
      <c r="H51" s="151">
        <v>470</v>
      </c>
      <c r="I51" s="151"/>
      <c r="J51" s="528">
        <f t="shared" si="5"/>
        <v>470</v>
      </c>
      <c r="K51" s="649"/>
      <c r="L51" s="787"/>
      <c r="M51" s="531"/>
      <c r="N51" s="671"/>
    </row>
    <row r="52" spans="1:14" x14ac:dyDescent="0.25">
      <c r="A52" s="706">
        <v>42</v>
      </c>
      <c r="B52" s="701" t="s">
        <v>97</v>
      </c>
      <c r="C52" s="412" t="s">
        <v>98</v>
      </c>
      <c r="D52" s="531"/>
      <c r="E52" s="151"/>
      <c r="F52" s="151"/>
      <c r="G52" s="152">
        <f t="shared" si="4"/>
        <v>0</v>
      </c>
      <c r="H52" s="151"/>
      <c r="I52" s="151"/>
      <c r="J52" s="528">
        <f t="shared" si="5"/>
        <v>0</v>
      </c>
      <c r="K52" s="649"/>
      <c r="L52" s="787"/>
      <c r="M52" s="531"/>
      <c r="N52" s="671"/>
    </row>
    <row r="53" spans="1:14" x14ac:dyDescent="0.25">
      <c r="A53" s="706">
        <v>43</v>
      </c>
      <c r="B53" s="410" t="s">
        <v>99</v>
      </c>
      <c r="C53" s="411" t="s">
        <v>100</v>
      </c>
      <c r="D53" s="531"/>
      <c r="E53" s="151"/>
      <c r="F53" s="151"/>
      <c r="G53" s="152">
        <f t="shared" si="4"/>
        <v>0</v>
      </c>
      <c r="H53" s="151"/>
      <c r="I53" s="151"/>
      <c r="J53" s="528">
        <f t="shared" si="5"/>
        <v>0</v>
      </c>
      <c r="K53" s="649"/>
      <c r="L53" s="787"/>
      <c r="M53" s="531"/>
      <c r="N53" s="671"/>
    </row>
    <row r="54" spans="1:14" x14ac:dyDescent="0.25">
      <c r="A54" s="706">
        <v>44</v>
      </c>
      <c r="B54" s="408" t="s">
        <v>101</v>
      </c>
      <c r="C54" s="409" t="s">
        <v>102</v>
      </c>
      <c r="D54" s="531">
        <v>3000</v>
      </c>
      <c r="E54" s="151"/>
      <c r="F54" s="151"/>
      <c r="G54" s="152">
        <f t="shared" si="4"/>
        <v>3000</v>
      </c>
      <c r="H54" s="151">
        <v>500</v>
      </c>
      <c r="I54" s="151"/>
      <c r="J54" s="528">
        <f t="shared" si="5"/>
        <v>500</v>
      </c>
      <c r="K54" s="649"/>
      <c r="L54" s="787"/>
      <c r="M54" s="531"/>
      <c r="N54" s="671"/>
    </row>
    <row r="55" spans="1:14" x14ac:dyDescent="0.25">
      <c r="A55" s="706">
        <v>45</v>
      </c>
      <c r="B55" s="410" t="s">
        <v>103</v>
      </c>
      <c r="C55" s="411" t="s">
        <v>104</v>
      </c>
      <c r="D55" s="531">
        <v>6000</v>
      </c>
      <c r="E55" s="151"/>
      <c r="F55" s="151"/>
      <c r="G55" s="152">
        <f t="shared" si="4"/>
        <v>6000</v>
      </c>
      <c r="H55" s="151">
        <v>1000</v>
      </c>
      <c r="I55" s="151"/>
      <c r="J55" s="528">
        <f t="shared" si="5"/>
        <v>1000</v>
      </c>
      <c r="K55" s="649"/>
      <c r="L55" s="787"/>
      <c r="M55" s="531"/>
      <c r="N55" s="671"/>
    </row>
    <row r="56" spans="1:14" x14ac:dyDescent="0.25">
      <c r="A56" s="706">
        <v>46</v>
      </c>
      <c r="B56" s="408" t="s">
        <v>105</v>
      </c>
      <c r="C56" s="409" t="s">
        <v>106</v>
      </c>
      <c r="D56" s="531">
        <v>3375</v>
      </c>
      <c r="E56" s="151"/>
      <c r="F56" s="151"/>
      <c r="G56" s="152">
        <f t="shared" si="4"/>
        <v>3375</v>
      </c>
      <c r="H56" s="151">
        <v>562</v>
      </c>
      <c r="I56" s="151"/>
      <c r="J56" s="528">
        <f t="shared" si="5"/>
        <v>562</v>
      </c>
      <c r="K56" s="649"/>
      <c r="L56" s="787"/>
      <c r="M56" s="531"/>
      <c r="N56" s="671"/>
    </row>
    <row r="57" spans="1:14" x14ac:dyDescent="0.25">
      <c r="A57" s="706">
        <v>47</v>
      </c>
      <c r="B57" s="408" t="s">
        <v>107</v>
      </c>
      <c r="C57" s="409" t="s">
        <v>108</v>
      </c>
      <c r="D57" s="531">
        <v>3750</v>
      </c>
      <c r="E57" s="151"/>
      <c r="F57" s="151"/>
      <c r="G57" s="152">
        <f t="shared" si="4"/>
        <v>3750</v>
      </c>
      <c r="H57" s="151">
        <v>625</v>
      </c>
      <c r="I57" s="151"/>
      <c r="J57" s="528">
        <f t="shared" si="5"/>
        <v>625</v>
      </c>
      <c r="K57" s="649"/>
      <c r="L57" s="787"/>
      <c r="M57" s="531"/>
      <c r="N57" s="671"/>
    </row>
    <row r="58" spans="1:14" x14ac:dyDescent="0.25">
      <c r="A58" s="706">
        <v>48</v>
      </c>
      <c r="B58" s="410" t="s">
        <v>109</v>
      </c>
      <c r="C58" s="411" t="s">
        <v>110</v>
      </c>
      <c r="D58" s="531">
        <v>5625</v>
      </c>
      <c r="E58" s="151"/>
      <c r="F58" s="151"/>
      <c r="G58" s="152">
        <f t="shared" si="4"/>
        <v>5625</v>
      </c>
      <c r="H58" s="151">
        <v>938</v>
      </c>
      <c r="I58" s="151"/>
      <c r="J58" s="528">
        <f t="shared" si="5"/>
        <v>938</v>
      </c>
      <c r="K58" s="649"/>
      <c r="L58" s="787"/>
      <c r="M58" s="531"/>
      <c r="N58" s="671"/>
    </row>
    <row r="59" spans="1:14" x14ac:dyDescent="0.25">
      <c r="A59" s="706">
        <v>49</v>
      </c>
      <c r="B59" s="410" t="s">
        <v>111</v>
      </c>
      <c r="C59" s="411" t="s">
        <v>112</v>
      </c>
      <c r="D59" s="531">
        <v>2250</v>
      </c>
      <c r="E59" s="151"/>
      <c r="F59" s="151"/>
      <c r="G59" s="152">
        <f t="shared" si="4"/>
        <v>2250</v>
      </c>
      <c r="H59" s="151">
        <v>375</v>
      </c>
      <c r="I59" s="151"/>
      <c r="J59" s="528">
        <f t="shared" si="5"/>
        <v>375</v>
      </c>
      <c r="K59" s="649"/>
      <c r="L59" s="787"/>
      <c r="M59" s="531"/>
      <c r="N59" s="671"/>
    </row>
    <row r="60" spans="1:14" x14ac:dyDescent="0.25">
      <c r="A60" s="706">
        <v>50</v>
      </c>
      <c r="B60" s="408" t="s">
        <v>113</v>
      </c>
      <c r="C60" s="409" t="s">
        <v>114</v>
      </c>
      <c r="D60" s="531">
        <v>3750</v>
      </c>
      <c r="E60" s="151"/>
      <c r="F60" s="151"/>
      <c r="G60" s="152">
        <f t="shared" si="4"/>
        <v>3750</v>
      </c>
      <c r="H60" s="151">
        <v>625</v>
      </c>
      <c r="I60" s="151"/>
      <c r="J60" s="528">
        <f t="shared" si="5"/>
        <v>625</v>
      </c>
      <c r="K60" s="649"/>
      <c r="L60" s="787"/>
      <c r="M60" s="531"/>
      <c r="N60" s="671"/>
    </row>
    <row r="61" spans="1:14" x14ac:dyDescent="0.25">
      <c r="A61" s="706">
        <v>51</v>
      </c>
      <c r="B61" s="410" t="s">
        <v>115</v>
      </c>
      <c r="C61" s="411" t="s">
        <v>116</v>
      </c>
      <c r="D61" s="531">
        <v>5850</v>
      </c>
      <c r="E61" s="151"/>
      <c r="F61" s="151"/>
      <c r="G61" s="152">
        <f t="shared" si="4"/>
        <v>5850</v>
      </c>
      <c r="H61" s="151">
        <v>975</v>
      </c>
      <c r="I61" s="151"/>
      <c r="J61" s="528">
        <f t="shared" si="5"/>
        <v>975</v>
      </c>
      <c r="K61" s="649"/>
      <c r="L61" s="787"/>
      <c r="M61" s="531"/>
      <c r="N61" s="671"/>
    </row>
    <row r="62" spans="1:14" x14ac:dyDescent="0.25">
      <c r="A62" s="706">
        <v>52</v>
      </c>
      <c r="B62" s="408" t="s">
        <v>117</v>
      </c>
      <c r="C62" s="409" t="s">
        <v>118</v>
      </c>
      <c r="D62" s="531">
        <v>11250</v>
      </c>
      <c r="E62" s="151"/>
      <c r="F62" s="151"/>
      <c r="G62" s="152">
        <f t="shared" si="4"/>
        <v>11250</v>
      </c>
      <c r="H62" s="151">
        <v>1875</v>
      </c>
      <c r="I62" s="151"/>
      <c r="J62" s="528">
        <f t="shared" si="5"/>
        <v>1875</v>
      </c>
      <c r="K62" s="649"/>
      <c r="L62" s="787"/>
      <c r="M62" s="531"/>
      <c r="N62" s="671"/>
    </row>
    <row r="63" spans="1:14" x14ac:dyDescent="0.25">
      <c r="A63" s="706">
        <v>53</v>
      </c>
      <c r="B63" s="410" t="s">
        <v>119</v>
      </c>
      <c r="C63" s="411" t="s">
        <v>120</v>
      </c>
      <c r="D63" s="531">
        <v>3075</v>
      </c>
      <c r="E63" s="151"/>
      <c r="F63" s="151"/>
      <c r="G63" s="152">
        <f t="shared" si="4"/>
        <v>3075</v>
      </c>
      <c r="H63" s="151">
        <v>512</v>
      </c>
      <c r="I63" s="151"/>
      <c r="J63" s="528">
        <f t="shared" si="5"/>
        <v>512</v>
      </c>
      <c r="K63" s="649"/>
      <c r="L63" s="787"/>
      <c r="M63" s="531"/>
      <c r="N63" s="671"/>
    </row>
    <row r="64" spans="1:14" s="149" customFormat="1" x14ac:dyDescent="0.25">
      <c r="A64" s="706">
        <v>54</v>
      </c>
      <c r="B64" s="410" t="s">
        <v>121</v>
      </c>
      <c r="C64" s="411" t="s">
        <v>122</v>
      </c>
      <c r="D64" s="531"/>
      <c r="E64" s="151"/>
      <c r="F64" s="151"/>
      <c r="G64" s="152">
        <f t="shared" si="4"/>
        <v>0</v>
      </c>
      <c r="H64" s="151"/>
      <c r="I64" s="151"/>
      <c r="J64" s="528">
        <f t="shared" si="5"/>
        <v>0</v>
      </c>
      <c r="K64" s="649"/>
      <c r="L64" s="787"/>
      <c r="M64" s="531"/>
      <c r="N64" s="671"/>
    </row>
    <row r="65" spans="1:14" s="149" customFormat="1" x14ac:dyDescent="0.25">
      <c r="A65" s="706">
        <v>55</v>
      </c>
      <c r="B65" s="410" t="s">
        <v>123</v>
      </c>
      <c r="C65" s="411" t="s">
        <v>124</v>
      </c>
      <c r="D65" s="531"/>
      <c r="E65" s="151"/>
      <c r="F65" s="151"/>
      <c r="G65" s="152">
        <f t="shared" si="4"/>
        <v>0</v>
      </c>
      <c r="H65" s="151"/>
      <c r="I65" s="151"/>
      <c r="J65" s="528">
        <f t="shared" si="5"/>
        <v>0</v>
      </c>
      <c r="K65" s="649"/>
      <c r="L65" s="787"/>
      <c r="M65" s="531"/>
      <c r="N65" s="671"/>
    </row>
    <row r="66" spans="1:14" x14ac:dyDescent="0.25">
      <c r="A66" s="706">
        <v>56</v>
      </c>
      <c r="B66" s="707" t="s">
        <v>125</v>
      </c>
      <c r="C66" s="418" t="s">
        <v>126</v>
      </c>
      <c r="D66" s="531"/>
      <c r="E66" s="151"/>
      <c r="F66" s="151"/>
      <c r="G66" s="152">
        <f t="shared" si="4"/>
        <v>0</v>
      </c>
      <c r="H66" s="151"/>
      <c r="I66" s="151"/>
      <c r="J66" s="528">
        <f t="shared" si="5"/>
        <v>0</v>
      </c>
      <c r="K66" s="649"/>
      <c r="L66" s="787"/>
      <c r="M66" s="531"/>
      <c r="N66" s="671"/>
    </row>
    <row r="67" spans="1:14" s="153" customFormat="1" ht="24" x14ac:dyDescent="0.25">
      <c r="A67" s="706">
        <v>57</v>
      </c>
      <c r="B67" s="410" t="s">
        <v>127</v>
      </c>
      <c r="C67" s="411" t="s">
        <v>128</v>
      </c>
      <c r="D67" s="788"/>
      <c r="E67" s="789"/>
      <c r="F67" s="789"/>
      <c r="G67" s="152">
        <f t="shared" si="4"/>
        <v>0</v>
      </c>
      <c r="H67" s="151"/>
      <c r="I67" s="151"/>
      <c r="J67" s="528">
        <f t="shared" si="5"/>
        <v>0</v>
      </c>
      <c r="K67" s="790"/>
      <c r="L67" s="791"/>
      <c r="M67" s="788"/>
      <c r="N67" s="792"/>
    </row>
    <row r="68" spans="1:14" ht="24" x14ac:dyDescent="0.25">
      <c r="A68" s="706">
        <v>58</v>
      </c>
      <c r="B68" s="410" t="s">
        <v>129</v>
      </c>
      <c r="C68" s="411" t="s">
        <v>460</v>
      </c>
      <c r="D68" s="531"/>
      <c r="E68" s="151"/>
      <c r="F68" s="151"/>
      <c r="G68" s="152">
        <f t="shared" si="4"/>
        <v>0</v>
      </c>
      <c r="H68" s="151"/>
      <c r="I68" s="151"/>
      <c r="J68" s="528">
        <f t="shared" si="5"/>
        <v>0</v>
      </c>
      <c r="K68" s="649"/>
      <c r="L68" s="687"/>
      <c r="M68" s="406"/>
      <c r="N68" s="670"/>
    </row>
    <row r="69" spans="1:14" ht="24" x14ac:dyDescent="0.25">
      <c r="A69" s="706">
        <v>59</v>
      </c>
      <c r="B69" s="410" t="s">
        <v>131</v>
      </c>
      <c r="C69" s="411" t="s">
        <v>132</v>
      </c>
      <c r="D69" s="531"/>
      <c r="E69" s="151"/>
      <c r="F69" s="151"/>
      <c r="G69" s="152">
        <f t="shared" si="4"/>
        <v>0</v>
      </c>
      <c r="H69" s="151"/>
      <c r="I69" s="151"/>
      <c r="J69" s="528">
        <f t="shared" si="5"/>
        <v>0</v>
      </c>
      <c r="K69" s="649"/>
      <c r="L69" s="787"/>
      <c r="M69" s="531"/>
      <c r="N69" s="671"/>
    </row>
    <row r="70" spans="1:14" ht="24" x14ac:dyDescent="0.25">
      <c r="A70" s="706">
        <v>60</v>
      </c>
      <c r="B70" s="408" t="s">
        <v>133</v>
      </c>
      <c r="C70" s="411" t="s">
        <v>299</v>
      </c>
      <c r="D70" s="531"/>
      <c r="E70" s="151"/>
      <c r="F70" s="151"/>
      <c r="G70" s="152">
        <f t="shared" si="4"/>
        <v>0</v>
      </c>
      <c r="H70" s="151"/>
      <c r="I70" s="151"/>
      <c r="J70" s="528">
        <f t="shared" si="5"/>
        <v>0</v>
      </c>
      <c r="K70" s="649"/>
      <c r="L70" s="787"/>
      <c r="M70" s="531"/>
      <c r="N70" s="671"/>
    </row>
    <row r="71" spans="1:14" ht="24" x14ac:dyDescent="0.25">
      <c r="A71" s="706">
        <v>61</v>
      </c>
      <c r="B71" s="701" t="s">
        <v>135</v>
      </c>
      <c r="C71" s="411" t="s">
        <v>462</v>
      </c>
      <c r="D71" s="531"/>
      <c r="E71" s="151"/>
      <c r="F71" s="151"/>
      <c r="G71" s="152">
        <f t="shared" si="4"/>
        <v>0</v>
      </c>
      <c r="H71" s="151"/>
      <c r="I71" s="151"/>
      <c r="J71" s="528">
        <f t="shared" si="5"/>
        <v>0</v>
      </c>
      <c r="K71" s="649"/>
      <c r="L71" s="787"/>
      <c r="M71" s="531"/>
      <c r="N71" s="671"/>
    </row>
    <row r="72" spans="1:14" ht="24" x14ac:dyDescent="0.25">
      <c r="A72" s="706">
        <v>62</v>
      </c>
      <c r="B72" s="408" t="s">
        <v>137</v>
      </c>
      <c r="C72" s="411" t="s">
        <v>645</v>
      </c>
      <c r="D72" s="531"/>
      <c r="E72" s="151"/>
      <c r="F72" s="151"/>
      <c r="G72" s="152">
        <f t="shared" si="4"/>
        <v>0</v>
      </c>
      <c r="H72" s="151"/>
      <c r="I72" s="151"/>
      <c r="J72" s="528">
        <f t="shared" si="5"/>
        <v>0</v>
      </c>
      <c r="K72" s="649"/>
      <c r="L72" s="787"/>
      <c r="M72" s="531"/>
      <c r="N72" s="671"/>
    </row>
    <row r="73" spans="1:14" ht="24" x14ac:dyDescent="0.25">
      <c r="A73" s="706">
        <v>63</v>
      </c>
      <c r="B73" s="410" t="s">
        <v>139</v>
      </c>
      <c r="C73" s="411" t="s">
        <v>646</v>
      </c>
      <c r="D73" s="531"/>
      <c r="E73" s="151"/>
      <c r="F73" s="151"/>
      <c r="G73" s="152">
        <f t="shared" si="4"/>
        <v>0</v>
      </c>
      <c r="H73" s="151"/>
      <c r="I73" s="151"/>
      <c r="J73" s="528">
        <f t="shared" si="5"/>
        <v>0</v>
      </c>
      <c r="K73" s="649"/>
      <c r="L73" s="787"/>
      <c r="M73" s="531"/>
      <c r="N73" s="671"/>
    </row>
    <row r="74" spans="1:14" x14ac:dyDescent="0.25">
      <c r="A74" s="706">
        <v>64</v>
      </c>
      <c r="B74" s="408" t="s">
        <v>141</v>
      </c>
      <c r="C74" s="411" t="s">
        <v>457</v>
      </c>
      <c r="D74" s="531"/>
      <c r="E74" s="151"/>
      <c r="F74" s="151"/>
      <c r="G74" s="152">
        <f t="shared" si="4"/>
        <v>0</v>
      </c>
      <c r="H74" s="151"/>
      <c r="I74" s="151"/>
      <c r="J74" s="528">
        <f t="shared" si="5"/>
        <v>0</v>
      </c>
      <c r="K74" s="649"/>
      <c r="L74" s="787"/>
      <c r="M74" s="531"/>
      <c r="N74" s="671"/>
    </row>
    <row r="75" spans="1:14" x14ac:dyDescent="0.25">
      <c r="A75" s="706">
        <v>65</v>
      </c>
      <c r="B75" s="408" t="s">
        <v>143</v>
      </c>
      <c r="C75" s="411" t="s">
        <v>144</v>
      </c>
      <c r="D75" s="531"/>
      <c r="E75" s="151"/>
      <c r="F75" s="151"/>
      <c r="G75" s="152">
        <f t="shared" si="4"/>
        <v>0</v>
      </c>
      <c r="H75" s="151"/>
      <c r="I75" s="151"/>
      <c r="J75" s="528">
        <f t="shared" si="5"/>
        <v>0</v>
      </c>
      <c r="K75" s="649"/>
      <c r="L75" s="787"/>
      <c r="M75" s="531"/>
      <c r="N75" s="671"/>
    </row>
    <row r="76" spans="1:14" x14ac:dyDescent="0.25">
      <c r="A76" s="706">
        <v>66</v>
      </c>
      <c r="B76" s="408" t="s">
        <v>145</v>
      </c>
      <c r="C76" s="411" t="s">
        <v>458</v>
      </c>
      <c r="D76" s="531"/>
      <c r="E76" s="151"/>
      <c r="F76" s="151"/>
      <c r="G76" s="152">
        <f t="shared" ref="G76:G139" si="6">SUM(D76:F76)</f>
        <v>0</v>
      </c>
      <c r="H76" s="151"/>
      <c r="I76" s="151"/>
      <c r="J76" s="528">
        <f t="shared" ref="J76:J139" si="7">SUM(H76:I76)</f>
        <v>0</v>
      </c>
      <c r="K76" s="649"/>
      <c r="L76" s="787"/>
      <c r="M76" s="531"/>
      <c r="N76" s="671"/>
    </row>
    <row r="77" spans="1:14" ht="24" x14ac:dyDescent="0.25">
      <c r="A77" s="706">
        <v>67</v>
      </c>
      <c r="B77" s="408" t="s">
        <v>147</v>
      </c>
      <c r="C77" s="411" t="s">
        <v>647</v>
      </c>
      <c r="D77" s="531"/>
      <c r="E77" s="151"/>
      <c r="F77" s="151"/>
      <c r="G77" s="152">
        <f t="shared" si="6"/>
        <v>0</v>
      </c>
      <c r="H77" s="151"/>
      <c r="I77" s="151"/>
      <c r="J77" s="528">
        <f t="shared" si="7"/>
        <v>0</v>
      </c>
      <c r="K77" s="649"/>
      <c r="L77" s="787"/>
      <c r="M77" s="531"/>
      <c r="N77" s="671"/>
    </row>
    <row r="78" spans="1:14" ht="24" x14ac:dyDescent="0.25">
      <c r="A78" s="706">
        <v>68</v>
      </c>
      <c r="B78" s="408" t="s">
        <v>149</v>
      </c>
      <c r="C78" s="411" t="s">
        <v>464</v>
      </c>
      <c r="D78" s="531"/>
      <c r="E78" s="151"/>
      <c r="F78" s="151"/>
      <c r="G78" s="152">
        <f t="shared" si="6"/>
        <v>0</v>
      </c>
      <c r="H78" s="151"/>
      <c r="I78" s="151"/>
      <c r="J78" s="528">
        <f t="shared" si="7"/>
        <v>0</v>
      </c>
      <c r="K78" s="649"/>
      <c r="L78" s="787"/>
      <c r="M78" s="531"/>
      <c r="N78" s="671"/>
    </row>
    <row r="79" spans="1:14" ht="24" x14ac:dyDescent="0.25">
      <c r="A79" s="706">
        <v>69</v>
      </c>
      <c r="B79" s="408" t="s">
        <v>151</v>
      </c>
      <c r="C79" s="411" t="s">
        <v>648</v>
      </c>
      <c r="D79" s="531"/>
      <c r="E79" s="151"/>
      <c r="F79" s="151"/>
      <c r="G79" s="152">
        <f t="shared" si="6"/>
        <v>0</v>
      </c>
      <c r="H79" s="151"/>
      <c r="I79" s="151"/>
      <c r="J79" s="528">
        <f t="shared" si="7"/>
        <v>0</v>
      </c>
      <c r="K79" s="649"/>
      <c r="L79" s="787"/>
      <c r="M79" s="531"/>
      <c r="N79" s="671"/>
    </row>
    <row r="80" spans="1:14" ht="24" x14ac:dyDescent="0.25">
      <c r="A80" s="706">
        <v>70</v>
      </c>
      <c r="B80" s="408" t="s">
        <v>153</v>
      </c>
      <c r="C80" s="411" t="s">
        <v>649</v>
      </c>
      <c r="D80" s="531"/>
      <c r="E80" s="151"/>
      <c r="F80" s="151"/>
      <c r="G80" s="152">
        <f t="shared" si="6"/>
        <v>0</v>
      </c>
      <c r="H80" s="151"/>
      <c r="I80" s="151"/>
      <c r="J80" s="528">
        <f t="shared" si="7"/>
        <v>0</v>
      </c>
      <c r="K80" s="649"/>
      <c r="L80" s="787"/>
      <c r="M80" s="531"/>
      <c r="N80" s="671"/>
    </row>
    <row r="81" spans="1:14" ht="24" x14ac:dyDescent="0.25">
      <c r="A81" s="706">
        <v>71</v>
      </c>
      <c r="B81" s="410" t="s">
        <v>155</v>
      </c>
      <c r="C81" s="411" t="s">
        <v>650</v>
      </c>
      <c r="D81" s="531"/>
      <c r="E81" s="151"/>
      <c r="F81" s="151"/>
      <c r="G81" s="152">
        <f t="shared" si="6"/>
        <v>0</v>
      </c>
      <c r="H81" s="151"/>
      <c r="I81" s="151"/>
      <c r="J81" s="528">
        <f t="shared" si="7"/>
        <v>0</v>
      </c>
      <c r="K81" s="649"/>
      <c r="L81" s="787"/>
      <c r="M81" s="531"/>
      <c r="N81" s="671"/>
    </row>
    <row r="82" spans="1:14" ht="24" x14ac:dyDescent="0.25">
      <c r="A82" s="706">
        <v>72</v>
      </c>
      <c r="B82" s="408" t="s">
        <v>157</v>
      </c>
      <c r="C82" s="409" t="s">
        <v>651</v>
      </c>
      <c r="D82" s="531"/>
      <c r="E82" s="151"/>
      <c r="F82" s="151"/>
      <c r="G82" s="152">
        <f t="shared" si="6"/>
        <v>0</v>
      </c>
      <c r="H82" s="151"/>
      <c r="I82" s="151"/>
      <c r="J82" s="528">
        <f t="shared" si="7"/>
        <v>0</v>
      </c>
      <c r="K82" s="649"/>
      <c r="L82" s="787"/>
      <c r="M82" s="531"/>
      <c r="N82" s="671"/>
    </row>
    <row r="83" spans="1:14" ht="24" x14ac:dyDescent="0.25">
      <c r="A83" s="706">
        <v>73</v>
      </c>
      <c r="B83" s="410" t="s">
        <v>159</v>
      </c>
      <c r="C83" s="411" t="s">
        <v>652</v>
      </c>
      <c r="D83" s="531"/>
      <c r="E83" s="151"/>
      <c r="F83" s="151"/>
      <c r="G83" s="152">
        <f t="shared" si="6"/>
        <v>0</v>
      </c>
      <c r="H83" s="151"/>
      <c r="I83" s="151"/>
      <c r="J83" s="528">
        <f t="shared" si="7"/>
        <v>0</v>
      </c>
      <c r="K83" s="649"/>
      <c r="L83" s="787"/>
      <c r="M83" s="531"/>
      <c r="N83" s="671"/>
    </row>
    <row r="84" spans="1:14" ht="24" x14ac:dyDescent="0.25">
      <c r="A84" s="706">
        <v>74</v>
      </c>
      <c r="B84" s="408" t="s">
        <v>161</v>
      </c>
      <c r="C84" s="411" t="s">
        <v>162</v>
      </c>
      <c r="D84" s="531"/>
      <c r="E84" s="151"/>
      <c r="F84" s="151"/>
      <c r="G84" s="152">
        <f t="shared" si="6"/>
        <v>0</v>
      </c>
      <c r="H84" s="151"/>
      <c r="I84" s="151"/>
      <c r="J84" s="528">
        <f t="shared" si="7"/>
        <v>0</v>
      </c>
      <c r="K84" s="649"/>
      <c r="L84" s="787"/>
      <c r="M84" s="531"/>
      <c r="N84" s="671"/>
    </row>
    <row r="85" spans="1:14" x14ac:dyDescent="0.25">
      <c r="A85" s="706">
        <v>75</v>
      </c>
      <c r="B85" s="410" t="s">
        <v>163</v>
      </c>
      <c r="C85" s="411" t="s">
        <v>459</v>
      </c>
      <c r="D85" s="531"/>
      <c r="E85" s="151"/>
      <c r="F85" s="151"/>
      <c r="G85" s="152">
        <f t="shared" si="6"/>
        <v>0</v>
      </c>
      <c r="H85" s="151"/>
      <c r="I85" s="151"/>
      <c r="J85" s="528">
        <f t="shared" si="7"/>
        <v>0</v>
      </c>
      <c r="K85" s="649"/>
      <c r="L85" s="787"/>
      <c r="M85" s="531"/>
      <c r="N85" s="671"/>
    </row>
    <row r="86" spans="1:14" x14ac:dyDescent="0.25">
      <c r="A86" s="706">
        <v>76</v>
      </c>
      <c r="B86" s="410" t="s">
        <v>165</v>
      </c>
      <c r="C86" s="411" t="s">
        <v>166</v>
      </c>
      <c r="D86" s="531"/>
      <c r="E86" s="151"/>
      <c r="F86" s="151"/>
      <c r="G86" s="152">
        <f t="shared" si="6"/>
        <v>0</v>
      </c>
      <c r="H86" s="151"/>
      <c r="I86" s="151"/>
      <c r="J86" s="528">
        <f t="shared" si="7"/>
        <v>0</v>
      </c>
      <c r="K86" s="649"/>
      <c r="L86" s="787"/>
      <c r="M86" s="531"/>
      <c r="N86" s="671"/>
    </row>
    <row r="87" spans="1:14" x14ac:dyDescent="0.25">
      <c r="A87" s="706">
        <v>77</v>
      </c>
      <c r="B87" s="408" t="s">
        <v>167</v>
      </c>
      <c r="C87" s="411" t="s">
        <v>168</v>
      </c>
      <c r="D87" s="531"/>
      <c r="E87" s="151"/>
      <c r="F87" s="151"/>
      <c r="G87" s="152">
        <f t="shared" si="6"/>
        <v>0</v>
      </c>
      <c r="H87" s="151"/>
      <c r="I87" s="151"/>
      <c r="J87" s="528">
        <f t="shared" si="7"/>
        <v>0</v>
      </c>
      <c r="K87" s="649"/>
      <c r="L87" s="787"/>
      <c r="M87" s="531"/>
      <c r="N87" s="671"/>
    </row>
    <row r="88" spans="1:14" x14ac:dyDescent="0.25">
      <c r="A88" s="706">
        <v>78</v>
      </c>
      <c r="B88" s="408" t="s">
        <v>169</v>
      </c>
      <c r="C88" s="411" t="s">
        <v>170</v>
      </c>
      <c r="D88" s="531"/>
      <c r="E88" s="151"/>
      <c r="F88" s="151"/>
      <c r="G88" s="152">
        <f t="shared" si="6"/>
        <v>0</v>
      </c>
      <c r="H88" s="151"/>
      <c r="I88" s="151"/>
      <c r="J88" s="528">
        <f t="shared" si="7"/>
        <v>0</v>
      </c>
      <c r="K88" s="649"/>
      <c r="L88" s="787"/>
      <c r="M88" s="531"/>
      <c r="N88" s="671"/>
    </row>
    <row r="89" spans="1:14" x14ac:dyDescent="0.25">
      <c r="A89" s="706">
        <v>79</v>
      </c>
      <c r="B89" s="408" t="s">
        <v>171</v>
      </c>
      <c r="C89" s="411" t="s">
        <v>172</v>
      </c>
      <c r="D89" s="531"/>
      <c r="E89" s="151"/>
      <c r="F89" s="151"/>
      <c r="G89" s="152">
        <f t="shared" si="6"/>
        <v>0</v>
      </c>
      <c r="H89" s="151"/>
      <c r="I89" s="151"/>
      <c r="J89" s="528">
        <f t="shared" si="7"/>
        <v>0</v>
      </c>
      <c r="K89" s="649"/>
      <c r="L89" s="787"/>
      <c r="M89" s="531"/>
      <c r="N89" s="671"/>
    </row>
    <row r="90" spans="1:14" x14ac:dyDescent="0.25">
      <c r="A90" s="706">
        <v>80</v>
      </c>
      <c r="B90" s="408" t="s">
        <v>173</v>
      </c>
      <c r="C90" s="411" t="s">
        <v>622</v>
      </c>
      <c r="D90" s="531"/>
      <c r="E90" s="151"/>
      <c r="F90" s="151"/>
      <c r="G90" s="152">
        <f t="shared" si="6"/>
        <v>0</v>
      </c>
      <c r="H90" s="151"/>
      <c r="I90" s="151"/>
      <c r="J90" s="528">
        <f t="shared" si="7"/>
        <v>0</v>
      </c>
      <c r="K90" s="649"/>
      <c r="L90" s="787"/>
      <c r="M90" s="531"/>
      <c r="N90" s="671"/>
    </row>
    <row r="91" spans="1:14" x14ac:dyDescent="0.25">
      <c r="A91" s="706">
        <v>81</v>
      </c>
      <c r="B91" s="408" t="s">
        <v>175</v>
      </c>
      <c r="C91" s="411" t="s">
        <v>176</v>
      </c>
      <c r="D91" s="531"/>
      <c r="E91" s="151"/>
      <c r="F91" s="151"/>
      <c r="G91" s="152">
        <f t="shared" si="6"/>
        <v>0</v>
      </c>
      <c r="H91" s="151"/>
      <c r="I91" s="151"/>
      <c r="J91" s="528">
        <f t="shared" si="7"/>
        <v>0</v>
      </c>
      <c r="K91" s="649"/>
      <c r="L91" s="787"/>
      <c r="M91" s="531"/>
      <c r="N91" s="671"/>
    </row>
    <row r="92" spans="1:14" x14ac:dyDescent="0.25">
      <c r="A92" s="706">
        <v>82</v>
      </c>
      <c r="B92" s="419" t="s">
        <v>177</v>
      </c>
      <c r="C92" s="418" t="s">
        <v>760</v>
      </c>
      <c r="D92" s="531"/>
      <c r="E92" s="151"/>
      <c r="F92" s="151"/>
      <c r="G92" s="152">
        <f t="shared" si="6"/>
        <v>0</v>
      </c>
      <c r="H92" s="151"/>
      <c r="I92" s="151"/>
      <c r="J92" s="528">
        <f t="shared" si="7"/>
        <v>0</v>
      </c>
      <c r="K92" s="649"/>
      <c r="L92" s="787"/>
      <c r="M92" s="531"/>
      <c r="N92" s="671"/>
    </row>
    <row r="93" spans="1:14" ht="24" x14ac:dyDescent="0.25">
      <c r="A93" s="1248">
        <v>83</v>
      </c>
      <c r="B93" s="1249" t="s">
        <v>178</v>
      </c>
      <c r="C93" s="420" t="s">
        <v>761</v>
      </c>
      <c r="D93" s="531"/>
      <c r="E93" s="151"/>
      <c r="F93" s="151"/>
      <c r="G93" s="152">
        <f t="shared" si="6"/>
        <v>0</v>
      </c>
      <c r="H93" s="151"/>
      <c r="I93" s="151"/>
      <c r="J93" s="528">
        <f t="shared" si="7"/>
        <v>0</v>
      </c>
      <c r="K93" s="649"/>
      <c r="L93" s="787"/>
      <c r="M93" s="531"/>
      <c r="N93" s="671"/>
    </row>
    <row r="94" spans="1:14" ht="24" x14ac:dyDescent="0.25">
      <c r="A94" s="1248"/>
      <c r="B94" s="1249"/>
      <c r="C94" s="418" t="s">
        <v>179</v>
      </c>
      <c r="D94" s="531"/>
      <c r="E94" s="151"/>
      <c r="F94" s="151"/>
      <c r="G94" s="152">
        <f t="shared" si="6"/>
        <v>0</v>
      </c>
      <c r="H94" s="151"/>
      <c r="I94" s="151"/>
      <c r="J94" s="528">
        <f t="shared" si="7"/>
        <v>0</v>
      </c>
      <c r="K94" s="649"/>
      <c r="L94" s="787"/>
      <c r="M94" s="531"/>
      <c r="N94" s="671"/>
    </row>
    <row r="95" spans="1:14" ht="24" x14ac:dyDescent="0.25">
      <c r="A95" s="1248"/>
      <c r="B95" s="1249"/>
      <c r="C95" s="418" t="s">
        <v>180</v>
      </c>
      <c r="D95" s="531"/>
      <c r="E95" s="151"/>
      <c r="F95" s="151"/>
      <c r="G95" s="152">
        <f t="shared" si="6"/>
        <v>0</v>
      </c>
      <c r="H95" s="151"/>
      <c r="I95" s="151"/>
      <c r="J95" s="528">
        <f t="shared" si="7"/>
        <v>0</v>
      </c>
      <c r="K95" s="649"/>
      <c r="L95" s="787"/>
      <c r="M95" s="531"/>
      <c r="N95" s="671"/>
    </row>
    <row r="96" spans="1:14" ht="48" x14ac:dyDescent="0.25">
      <c r="A96" s="1248"/>
      <c r="B96" s="1249"/>
      <c r="C96" s="421" t="s">
        <v>510</v>
      </c>
      <c r="D96" s="531"/>
      <c r="E96" s="151"/>
      <c r="F96" s="151"/>
      <c r="G96" s="152">
        <f t="shared" si="6"/>
        <v>0</v>
      </c>
      <c r="H96" s="151"/>
      <c r="I96" s="151"/>
      <c r="J96" s="528">
        <f t="shared" si="7"/>
        <v>0</v>
      </c>
      <c r="K96" s="649"/>
      <c r="L96" s="787"/>
      <c r="M96" s="531"/>
      <c r="N96" s="671"/>
    </row>
    <row r="97" spans="1:14" ht="24" x14ac:dyDescent="0.25">
      <c r="A97" s="706">
        <v>84</v>
      </c>
      <c r="B97" s="410" t="s">
        <v>181</v>
      </c>
      <c r="C97" s="411" t="s">
        <v>182</v>
      </c>
      <c r="D97" s="531"/>
      <c r="E97" s="151"/>
      <c r="F97" s="151"/>
      <c r="G97" s="152">
        <f t="shared" si="6"/>
        <v>0</v>
      </c>
      <c r="H97" s="151"/>
      <c r="I97" s="151"/>
      <c r="J97" s="528">
        <f t="shared" si="7"/>
        <v>0</v>
      </c>
      <c r="K97" s="649"/>
      <c r="L97" s="787"/>
      <c r="M97" s="531"/>
      <c r="N97" s="671"/>
    </row>
    <row r="98" spans="1:14" x14ac:dyDescent="0.25">
      <c r="A98" s="706">
        <v>85</v>
      </c>
      <c r="B98" s="408" t="s">
        <v>183</v>
      </c>
      <c r="C98" s="411" t="s">
        <v>184</v>
      </c>
      <c r="D98" s="531"/>
      <c r="E98" s="151"/>
      <c r="F98" s="151"/>
      <c r="G98" s="152">
        <f t="shared" si="6"/>
        <v>0</v>
      </c>
      <c r="H98" s="151"/>
      <c r="I98" s="151"/>
      <c r="J98" s="528">
        <f t="shared" si="7"/>
        <v>0</v>
      </c>
      <c r="K98" s="649"/>
      <c r="L98" s="787"/>
      <c r="M98" s="531"/>
      <c r="N98" s="671"/>
    </row>
    <row r="99" spans="1:14" x14ac:dyDescent="0.25">
      <c r="A99" s="706">
        <v>86</v>
      </c>
      <c r="B99" s="410" t="s">
        <v>185</v>
      </c>
      <c r="C99" s="411" t="s">
        <v>186</v>
      </c>
      <c r="D99" s="531"/>
      <c r="E99" s="151"/>
      <c r="F99" s="151"/>
      <c r="G99" s="152">
        <f t="shared" si="6"/>
        <v>0</v>
      </c>
      <c r="H99" s="151"/>
      <c r="I99" s="151"/>
      <c r="J99" s="528">
        <f t="shared" si="7"/>
        <v>0</v>
      </c>
      <c r="K99" s="649"/>
      <c r="L99" s="787"/>
      <c r="M99" s="531"/>
      <c r="N99" s="671"/>
    </row>
    <row r="100" spans="1:14" x14ac:dyDescent="0.25">
      <c r="A100" s="706">
        <v>87</v>
      </c>
      <c r="B100" s="701" t="s">
        <v>187</v>
      </c>
      <c r="C100" s="412" t="s">
        <v>188</v>
      </c>
      <c r="D100" s="531">
        <v>2475</v>
      </c>
      <c r="E100" s="151"/>
      <c r="F100" s="151"/>
      <c r="G100" s="152">
        <f t="shared" si="6"/>
        <v>2475</v>
      </c>
      <c r="H100" s="151">
        <v>413</v>
      </c>
      <c r="I100" s="151"/>
      <c r="J100" s="528">
        <f t="shared" si="7"/>
        <v>413</v>
      </c>
      <c r="K100" s="649"/>
      <c r="L100" s="787"/>
      <c r="M100" s="531"/>
      <c r="N100" s="671"/>
    </row>
    <row r="101" spans="1:14" x14ac:dyDescent="0.25">
      <c r="A101" s="706">
        <v>88</v>
      </c>
      <c r="B101" s="408" t="s">
        <v>189</v>
      </c>
      <c r="C101" s="411" t="s">
        <v>190</v>
      </c>
      <c r="D101" s="531">
        <v>3375</v>
      </c>
      <c r="E101" s="151"/>
      <c r="F101" s="151"/>
      <c r="G101" s="152">
        <f t="shared" si="6"/>
        <v>3375</v>
      </c>
      <c r="H101" s="151">
        <v>562</v>
      </c>
      <c r="I101" s="151"/>
      <c r="J101" s="528">
        <f t="shared" si="7"/>
        <v>562</v>
      </c>
      <c r="K101" s="649"/>
      <c r="L101" s="787"/>
      <c r="M101" s="531"/>
      <c r="N101" s="671"/>
    </row>
    <row r="102" spans="1:14" x14ac:dyDescent="0.25">
      <c r="A102" s="706">
        <v>89</v>
      </c>
      <c r="B102" s="408" t="s">
        <v>191</v>
      </c>
      <c r="C102" s="411" t="s">
        <v>192</v>
      </c>
      <c r="D102" s="531">
        <v>6450</v>
      </c>
      <c r="E102" s="151"/>
      <c r="F102" s="151"/>
      <c r="G102" s="152">
        <f t="shared" si="6"/>
        <v>6450</v>
      </c>
      <c r="H102" s="151">
        <v>1075</v>
      </c>
      <c r="I102" s="151"/>
      <c r="J102" s="528">
        <f t="shared" si="7"/>
        <v>1075</v>
      </c>
      <c r="K102" s="649"/>
      <c r="L102" s="787"/>
      <c r="M102" s="531"/>
      <c r="N102" s="671"/>
    </row>
    <row r="103" spans="1:14" x14ac:dyDescent="0.25">
      <c r="A103" s="706">
        <v>90</v>
      </c>
      <c r="B103" s="701" t="s">
        <v>193</v>
      </c>
      <c r="C103" s="412" t="s">
        <v>194</v>
      </c>
      <c r="D103" s="531">
        <v>3375</v>
      </c>
      <c r="E103" s="151"/>
      <c r="F103" s="151"/>
      <c r="G103" s="152">
        <f t="shared" si="6"/>
        <v>3375</v>
      </c>
      <c r="H103" s="151">
        <v>562</v>
      </c>
      <c r="I103" s="151"/>
      <c r="J103" s="528">
        <f t="shared" si="7"/>
        <v>562</v>
      </c>
      <c r="K103" s="649"/>
      <c r="L103" s="787"/>
      <c r="M103" s="531"/>
      <c r="N103" s="671"/>
    </row>
    <row r="104" spans="1:14" x14ac:dyDescent="0.25">
      <c r="A104" s="706">
        <v>91</v>
      </c>
      <c r="B104" s="408" t="s">
        <v>195</v>
      </c>
      <c r="C104" s="411" t="s">
        <v>196</v>
      </c>
      <c r="D104" s="531">
        <v>3750</v>
      </c>
      <c r="E104" s="151"/>
      <c r="F104" s="151"/>
      <c r="G104" s="152">
        <f t="shared" si="6"/>
        <v>3750</v>
      </c>
      <c r="H104" s="151">
        <v>625</v>
      </c>
      <c r="I104" s="151"/>
      <c r="J104" s="528">
        <f t="shared" si="7"/>
        <v>625</v>
      </c>
      <c r="K104" s="649"/>
      <c r="L104" s="787"/>
      <c r="M104" s="531"/>
      <c r="N104" s="671"/>
    </row>
    <row r="105" spans="1:14" x14ac:dyDescent="0.25">
      <c r="A105" s="706">
        <v>92</v>
      </c>
      <c r="B105" s="701" t="s">
        <v>197</v>
      </c>
      <c r="C105" s="412" t="s">
        <v>198</v>
      </c>
      <c r="D105" s="531">
        <v>6125</v>
      </c>
      <c r="E105" s="151"/>
      <c r="F105" s="151"/>
      <c r="G105" s="152">
        <f t="shared" si="6"/>
        <v>6125</v>
      </c>
      <c r="H105" s="151">
        <v>1028</v>
      </c>
      <c r="I105" s="151"/>
      <c r="J105" s="528">
        <f t="shared" si="7"/>
        <v>1028</v>
      </c>
      <c r="K105" s="649"/>
      <c r="L105" s="787"/>
      <c r="M105" s="531"/>
      <c r="N105" s="671"/>
    </row>
    <row r="106" spans="1:14" x14ac:dyDescent="0.25">
      <c r="A106" s="706">
        <v>93</v>
      </c>
      <c r="B106" s="408" t="s">
        <v>199</v>
      </c>
      <c r="C106" s="411" t="s">
        <v>200</v>
      </c>
      <c r="D106" s="531">
        <v>4125</v>
      </c>
      <c r="E106" s="151"/>
      <c r="F106" s="151"/>
      <c r="G106" s="152">
        <f t="shared" si="6"/>
        <v>4125</v>
      </c>
      <c r="H106" s="151">
        <v>687</v>
      </c>
      <c r="I106" s="151"/>
      <c r="J106" s="528">
        <f t="shared" si="7"/>
        <v>687</v>
      </c>
      <c r="K106" s="649"/>
      <c r="L106" s="787"/>
      <c r="M106" s="531"/>
      <c r="N106" s="671"/>
    </row>
    <row r="107" spans="1:14" x14ac:dyDescent="0.25">
      <c r="A107" s="706">
        <v>94</v>
      </c>
      <c r="B107" s="410" t="s">
        <v>201</v>
      </c>
      <c r="C107" s="411" t="s">
        <v>202</v>
      </c>
      <c r="D107" s="531">
        <v>2250</v>
      </c>
      <c r="E107" s="151"/>
      <c r="F107" s="151"/>
      <c r="G107" s="152">
        <f t="shared" si="6"/>
        <v>2250</v>
      </c>
      <c r="H107" s="151">
        <v>375</v>
      </c>
      <c r="I107" s="151"/>
      <c r="J107" s="528">
        <f t="shared" si="7"/>
        <v>375</v>
      </c>
      <c r="K107" s="649"/>
      <c r="L107" s="787"/>
      <c r="M107" s="531"/>
      <c r="N107" s="671"/>
    </row>
    <row r="108" spans="1:14" x14ac:dyDescent="0.25">
      <c r="A108" s="706">
        <v>95</v>
      </c>
      <c r="B108" s="408" t="s">
        <v>203</v>
      </c>
      <c r="C108" s="409" t="s">
        <v>204</v>
      </c>
      <c r="D108" s="531">
        <v>3000</v>
      </c>
      <c r="E108" s="151"/>
      <c r="F108" s="151"/>
      <c r="G108" s="152">
        <f t="shared" si="6"/>
        <v>3000</v>
      </c>
      <c r="H108" s="151">
        <v>500</v>
      </c>
      <c r="I108" s="151"/>
      <c r="J108" s="528">
        <f t="shared" si="7"/>
        <v>500</v>
      </c>
      <c r="K108" s="649"/>
      <c r="L108" s="787"/>
      <c r="M108" s="531"/>
      <c r="N108" s="671"/>
    </row>
    <row r="109" spans="1:14" x14ac:dyDescent="0.25">
      <c r="A109" s="706">
        <v>96</v>
      </c>
      <c r="B109" s="408" t="s">
        <v>205</v>
      </c>
      <c r="C109" s="412" t="s">
        <v>206</v>
      </c>
      <c r="D109" s="531">
        <v>3000</v>
      </c>
      <c r="E109" s="151"/>
      <c r="F109" s="151"/>
      <c r="G109" s="152">
        <f t="shared" si="6"/>
        <v>3000</v>
      </c>
      <c r="H109" s="151">
        <v>500</v>
      </c>
      <c r="I109" s="151"/>
      <c r="J109" s="528">
        <f t="shared" si="7"/>
        <v>500</v>
      </c>
      <c r="K109" s="649"/>
      <c r="L109" s="787"/>
      <c r="M109" s="531"/>
      <c r="N109" s="671"/>
    </row>
    <row r="110" spans="1:14" x14ac:dyDescent="0.25">
      <c r="A110" s="706">
        <v>97</v>
      </c>
      <c r="B110" s="410" t="s">
        <v>207</v>
      </c>
      <c r="C110" s="411" t="s">
        <v>208</v>
      </c>
      <c r="D110" s="531">
        <v>3750</v>
      </c>
      <c r="E110" s="151"/>
      <c r="F110" s="151"/>
      <c r="G110" s="152">
        <f t="shared" si="6"/>
        <v>3750</v>
      </c>
      <c r="H110" s="151">
        <v>625</v>
      </c>
      <c r="I110" s="151"/>
      <c r="J110" s="528">
        <f t="shared" si="7"/>
        <v>625</v>
      </c>
      <c r="K110" s="649"/>
      <c r="L110" s="787"/>
      <c r="M110" s="531"/>
      <c r="N110" s="671"/>
    </row>
    <row r="111" spans="1:14" x14ac:dyDescent="0.25">
      <c r="A111" s="706">
        <v>98</v>
      </c>
      <c r="B111" s="408" t="s">
        <v>209</v>
      </c>
      <c r="C111" s="409" t="s">
        <v>210</v>
      </c>
      <c r="D111" s="531">
        <v>2850</v>
      </c>
      <c r="E111" s="151"/>
      <c r="F111" s="151"/>
      <c r="G111" s="152">
        <f t="shared" si="6"/>
        <v>2850</v>
      </c>
      <c r="H111" s="151">
        <v>475</v>
      </c>
      <c r="I111" s="151"/>
      <c r="J111" s="528">
        <f t="shared" si="7"/>
        <v>475</v>
      </c>
      <c r="K111" s="649"/>
      <c r="L111" s="787"/>
      <c r="M111" s="531"/>
      <c r="N111" s="671"/>
    </row>
    <row r="112" spans="1:14" x14ac:dyDescent="0.25">
      <c r="A112" s="706">
        <v>99</v>
      </c>
      <c r="B112" s="410" t="s">
        <v>211</v>
      </c>
      <c r="C112" s="411" t="s">
        <v>212</v>
      </c>
      <c r="D112" s="531">
        <v>4200</v>
      </c>
      <c r="E112" s="151"/>
      <c r="F112" s="151"/>
      <c r="G112" s="152">
        <f t="shared" si="6"/>
        <v>4200</v>
      </c>
      <c r="H112" s="151">
        <v>700</v>
      </c>
      <c r="I112" s="151"/>
      <c r="J112" s="528">
        <f t="shared" si="7"/>
        <v>700</v>
      </c>
      <c r="K112" s="649"/>
      <c r="L112" s="787"/>
      <c r="M112" s="531"/>
      <c r="N112" s="671"/>
    </row>
    <row r="113" spans="1:14" x14ac:dyDescent="0.25">
      <c r="A113" s="706">
        <v>100</v>
      </c>
      <c r="B113" s="410" t="s">
        <v>213</v>
      </c>
      <c r="C113" s="411" t="s">
        <v>214</v>
      </c>
      <c r="D113" s="531">
        <v>6750</v>
      </c>
      <c r="E113" s="151"/>
      <c r="F113" s="151"/>
      <c r="G113" s="152">
        <f t="shared" si="6"/>
        <v>6750</v>
      </c>
      <c r="H113" s="151">
        <v>1125</v>
      </c>
      <c r="I113" s="151"/>
      <c r="J113" s="528">
        <f t="shared" si="7"/>
        <v>1125</v>
      </c>
      <c r="K113" s="649"/>
      <c r="L113" s="787"/>
      <c r="M113" s="531"/>
      <c r="N113" s="671"/>
    </row>
    <row r="114" spans="1:14" x14ac:dyDescent="0.25">
      <c r="A114" s="706">
        <v>101</v>
      </c>
      <c r="B114" s="408" t="s">
        <v>215</v>
      </c>
      <c r="C114" s="412" t="s">
        <v>216</v>
      </c>
      <c r="D114" s="531">
        <v>3225</v>
      </c>
      <c r="E114" s="151"/>
      <c r="F114" s="151"/>
      <c r="G114" s="152">
        <f t="shared" si="6"/>
        <v>3225</v>
      </c>
      <c r="H114" s="151">
        <v>538</v>
      </c>
      <c r="I114" s="151"/>
      <c r="J114" s="528">
        <f t="shared" si="7"/>
        <v>538</v>
      </c>
      <c r="K114" s="649"/>
      <c r="L114" s="787"/>
      <c r="M114" s="531"/>
      <c r="N114" s="671"/>
    </row>
    <row r="115" spans="1:14" x14ac:dyDescent="0.25">
      <c r="A115" s="706">
        <v>102</v>
      </c>
      <c r="B115" s="408" t="s">
        <v>217</v>
      </c>
      <c r="C115" s="409" t="s">
        <v>218</v>
      </c>
      <c r="D115" s="531"/>
      <c r="E115" s="151"/>
      <c r="F115" s="151"/>
      <c r="G115" s="152">
        <f t="shared" si="6"/>
        <v>0</v>
      </c>
      <c r="H115" s="151"/>
      <c r="I115" s="151"/>
      <c r="J115" s="528">
        <f t="shared" si="7"/>
        <v>0</v>
      </c>
      <c r="K115" s="649"/>
      <c r="L115" s="787"/>
      <c r="M115" s="531"/>
      <c r="N115" s="671"/>
    </row>
    <row r="116" spans="1:14" x14ac:dyDescent="0.25">
      <c r="A116" s="706">
        <v>103</v>
      </c>
      <c r="B116" s="408" t="s">
        <v>219</v>
      </c>
      <c r="C116" s="409" t="s">
        <v>220</v>
      </c>
      <c r="D116" s="531"/>
      <c r="E116" s="151"/>
      <c r="F116" s="151"/>
      <c r="G116" s="152">
        <f t="shared" si="6"/>
        <v>0</v>
      </c>
      <c r="H116" s="151"/>
      <c r="I116" s="151"/>
      <c r="J116" s="528">
        <f t="shared" si="7"/>
        <v>0</v>
      </c>
      <c r="K116" s="649"/>
      <c r="L116" s="787"/>
      <c r="M116" s="531"/>
      <c r="N116" s="671"/>
    </row>
    <row r="117" spans="1:14" x14ac:dyDescent="0.25">
      <c r="A117" s="706">
        <v>104</v>
      </c>
      <c r="B117" s="408" t="s">
        <v>221</v>
      </c>
      <c r="C117" s="409" t="s">
        <v>222</v>
      </c>
      <c r="D117" s="531"/>
      <c r="E117" s="151"/>
      <c r="F117" s="151"/>
      <c r="G117" s="152">
        <f t="shared" si="6"/>
        <v>0</v>
      </c>
      <c r="H117" s="151"/>
      <c r="I117" s="151"/>
      <c r="J117" s="528">
        <f t="shared" si="7"/>
        <v>0</v>
      </c>
      <c r="K117" s="649"/>
      <c r="L117" s="787"/>
      <c r="M117" s="531"/>
      <c r="N117" s="671"/>
    </row>
    <row r="118" spans="1:14" x14ac:dyDescent="0.25">
      <c r="A118" s="706">
        <v>105</v>
      </c>
      <c r="B118" s="410" t="s">
        <v>223</v>
      </c>
      <c r="C118" s="411" t="s">
        <v>224</v>
      </c>
      <c r="D118" s="531"/>
      <c r="E118" s="151"/>
      <c r="F118" s="151"/>
      <c r="G118" s="152">
        <f t="shared" si="6"/>
        <v>0</v>
      </c>
      <c r="H118" s="151"/>
      <c r="I118" s="151"/>
      <c r="J118" s="528">
        <f t="shared" si="7"/>
        <v>0</v>
      </c>
      <c r="K118" s="649"/>
      <c r="L118" s="787"/>
      <c r="M118" s="531"/>
      <c r="N118" s="671"/>
    </row>
    <row r="119" spans="1:14" x14ac:dyDescent="0.25">
      <c r="A119" s="706">
        <v>106</v>
      </c>
      <c r="B119" s="701" t="s">
        <v>225</v>
      </c>
      <c r="C119" s="412" t="s">
        <v>226</v>
      </c>
      <c r="D119" s="531"/>
      <c r="E119" s="151"/>
      <c r="F119" s="151"/>
      <c r="G119" s="152">
        <f t="shared" si="6"/>
        <v>0</v>
      </c>
      <c r="H119" s="151"/>
      <c r="I119" s="151"/>
      <c r="J119" s="528">
        <f t="shared" si="7"/>
        <v>0</v>
      </c>
      <c r="K119" s="649"/>
      <c r="L119" s="787"/>
      <c r="M119" s="531"/>
      <c r="N119" s="671"/>
    </row>
    <row r="120" spans="1:14" ht="24" x14ac:dyDescent="0.25">
      <c r="A120" s="706">
        <v>107</v>
      </c>
      <c r="B120" s="408" t="s">
        <v>227</v>
      </c>
      <c r="C120" s="409" t="s">
        <v>228</v>
      </c>
      <c r="D120" s="531"/>
      <c r="E120" s="151"/>
      <c r="F120" s="151"/>
      <c r="G120" s="152">
        <f t="shared" si="6"/>
        <v>0</v>
      </c>
      <c r="H120" s="151"/>
      <c r="I120" s="151"/>
      <c r="J120" s="528">
        <f t="shared" si="7"/>
        <v>0</v>
      </c>
      <c r="K120" s="649"/>
      <c r="L120" s="787"/>
      <c r="M120" s="531"/>
      <c r="N120" s="671"/>
    </row>
    <row r="121" spans="1:14" x14ac:dyDescent="0.25">
      <c r="A121" s="706">
        <v>108</v>
      </c>
      <c r="B121" s="408" t="s">
        <v>229</v>
      </c>
      <c r="C121" s="409" t="s">
        <v>230</v>
      </c>
      <c r="D121" s="531"/>
      <c r="E121" s="151"/>
      <c r="F121" s="151"/>
      <c r="G121" s="152">
        <f t="shared" si="6"/>
        <v>0</v>
      </c>
      <c r="H121" s="151"/>
      <c r="I121" s="151"/>
      <c r="J121" s="528">
        <f t="shared" si="7"/>
        <v>0</v>
      </c>
      <c r="K121" s="649"/>
      <c r="L121" s="787"/>
      <c r="M121" s="531"/>
      <c r="N121" s="671"/>
    </row>
    <row r="122" spans="1:14" x14ac:dyDescent="0.25">
      <c r="A122" s="706">
        <v>109</v>
      </c>
      <c r="B122" s="410" t="s">
        <v>231</v>
      </c>
      <c r="C122" s="411" t="s">
        <v>232</v>
      </c>
      <c r="D122" s="531"/>
      <c r="E122" s="151"/>
      <c r="F122" s="151"/>
      <c r="G122" s="152">
        <f t="shared" si="6"/>
        <v>0</v>
      </c>
      <c r="H122" s="151"/>
      <c r="I122" s="151"/>
      <c r="J122" s="528">
        <f t="shared" si="7"/>
        <v>0</v>
      </c>
      <c r="K122" s="649"/>
      <c r="L122" s="787"/>
      <c r="M122" s="531"/>
      <c r="N122" s="671"/>
    </row>
    <row r="123" spans="1:14" x14ac:dyDescent="0.25">
      <c r="A123" s="706">
        <v>110</v>
      </c>
      <c r="B123" s="410" t="s">
        <v>233</v>
      </c>
      <c r="C123" s="411" t="s">
        <v>234</v>
      </c>
      <c r="D123" s="531"/>
      <c r="E123" s="151"/>
      <c r="F123" s="151"/>
      <c r="G123" s="152">
        <f t="shared" si="6"/>
        <v>0</v>
      </c>
      <c r="H123" s="151"/>
      <c r="I123" s="151"/>
      <c r="J123" s="528">
        <f t="shared" si="7"/>
        <v>0</v>
      </c>
      <c r="K123" s="649"/>
      <c r="L123" s="787"/>
      <c r="M123" s="531"/>
      <c r="N123" s="671"/>
    </row>
    <row r="124" spans="1:14" x14ac:dyDescent="0.25">
      <c r="A124" s="706">
        <v>111</v>
      </c>
      <c r="B124" s="3" t="s">
        <v>235</v>
      </c>
      <c r="C124" s="409" t="s">
        <v>236</v>
      </c>
      <c r="D124" s="531"/>
      <c r="E124" s="151"/>
      <c r="F124" s="151"/>
      <c r="G124" s="152">
        <f t="shared" si="6"/>
        <v>0</v>
      </c>
      <c r="H124" s="151"/>
      <c r="I124" s="151"/>
      <c r="J124" s="528">
        <f t="shared" si="7"/>
        <v>0</v>
      </c>
      <c r="K124" s="649"/>
      <c r="L124" s="787"/>
      <c r="M124" s="531"/>
      <c r="N124" s="671"/>
    </row>
    <row r="125" spans="1:14" x14ac:dyDescent="0.25">
      <c r="A125" s="706">
        <v>112</v>
      </c>
      <c r="B125" s="408" t="s">
        <v>237</v>
      </c>
      <c r="C125" s="409" t="s">
        <v>238</v>
      </c>
      <c r="D125" s="531"/>
      <c r="E125" s="151"/>
      <c r="F125" s="151"/>
      <c r="G125" s="152">
        <f t="shared" si="6"/>
        <v>0</v>
      </c>
      <c r="H125" s="151"/>
      <c r="I125" s="151"/>
      <c r="J125" s="528">
        <f t="shared" si="7"/>
        <v>0</v>
      </c>
      <c r="K125" s="649"/>
      <c r="L125" s="787"/>
      <c r="M125" s="531"/>
      <c r="N125" s="671"/>
    </row>
    <row r="126" spans="1:14" x14ac:dyDescent="0.25">
      <c r="A126" s="706">
        <v>113</v>
      </c>
      <c r="B126" s="408" t="s">
        <v>239</v>
      </c>
      <c r="C126" s="411" t="s">
        <v>240</v>
      </c>
      <c r="D126" s="531"/>
      <c r="E126" s="151"/>
      <c r="F126" s="151"/>
      <c r="G126" s="152">
        <f t="shared" si="6"/>
        <v>0</v>
      </c>
      <c r="H126" s="151"/>
      <c r="I126" s="151"/>
      <c r="J126" s="528">
        <f t="shared" si="7"/>
        <v>0</v>
      </c>
      <c r="K126" s="649"/>
      <c r="L126" s="787"/>
      <c r="M126" s="531"/>
      <c r="N126" s="671"/>
    </row>
    <row r="127" spans="1:14" ht="24" x14ac:dyDescent="0.25">
      <c r="A127" s="706">
        <v>114</v>
      </c>
      <c r="B127" s="408" t="s">
        <v>241</v>
      </c>
      <c r="C127" s="409" t="s">
        <v>242</v>
      </c>
      <c r="D127" s="531"/>
      <c r="E127" s="151"/>
      <c r="F127" s="151"/>
      <c r="G127" s="152">
        <f t="shared" si="6"/>
        <v>0</v>
      </c>
      <c r="H127" s="151"/>
      <c r="I127" s="151"/>
      <c r="J127" s="528">
        <f t="shared" si="7"/>
        <v>0</v>
      </c>
      <c r="K127" s="649"/>
      <c r="L127" s="787"/>
      <c r="M127" s="531"/>
      <c r="N127" s="671"/>
    </row>
    <row r="128" spans="1:14" x14ac:dyDescent="0.25">
      <c r="A128" s="706">
        <v>115</v>
      </c>
      <c r="B128" s="707" t="s">
        <v>243</v>
      </c>
      <c r="C128" s="418" t="s">
        <v>385</v>
      </c>
      <c r="D128" s="531"/>
      <c r="E128" s="151"/>
      <c r="F128" s="151"/>
      <c r="G128" s="152">
        <f t="shared" si="6"/>
        <v>0</v>
      </c>
      <c r="H128" s="151"/>
      <c r="I128" s="151"/>
      <c r="J128" s="528">
        <f t="shared" si="7"/>
        <v>0</v>
      </c>
      <c r="K128" s="649"/>
      <c r="L128" s="787"/>
      <c r="M128" s="531"/>
      <c r="N128" s="671"/>
    </row>
    <row r="129" spans="1:14" x14ac:dyDescent="0.25">
      <c r="A129" s="706">
        <v>116</v>
      </c>
      <c r="B129" s="410" t="s">
        <v>244</v>
      </c>
      <c r="C129" s="411" t="s">
        <v>654</v>
      </c>
      <c r="D129" s="531"/>
      <c r="E129" s="151"/>
      <c r="F129" s="151"/>
      <c r="G129" s="152">
        <f t="shared" si="6"/>
        <v>0</v>
      </c>
      <c r="H129" s="151"/>
      <c r="I129" s="151"/>
      <c r="J129" s="528">
        <f t="shared" si="7"/>
        <v>0</v>
      </c>
      <c r="K129" s="649"/>
      <c r="L129" s="787"/>
      <c r="M129" s="531"/>
      <c r="N129" s="671"/>
    </row>
    <row r="130" spans="1:14" x14ac:dyDescent="0.25">
      <c r="A130" s="706">
        <v>117</v>
      </c>
      <c r="B130" s="410" t="s">
        <v>246</v>
      </c>
      <c r="C130" s="411" t="s">
        <v>247</v>
      </c>
      <c r="D130" s="531"/>
      <c r="E130" s="151"/>
      <c r="F130" s="151"/>
      <c r="G130" s="152">
        <f t="shared" si="6"/>
        <v>0</v>
      </c>
      <c r="H130" s="151"/>
      <c r="I130" s="151"/>
      <c r="J130" s="528">
        <f t="shared" si="7"/>
        <v>0</v>
      </c>
      <c r="K130" s="649"/>
      <c r="L130" s="787"/>
      <c r="M130" s="531"/>
      <c r="N130" s="671"/>
    </row>
    <row r="131" spans="1:14" x14ac:dyDescent="0.25">
      <c r="A131" s="706">
        <v>118</v>
      </c>
      <c r="B131" s="410" t="s">
        <v>248</v>
      </c>
      <c r="C131" s="411" t="s">
        <v>249</v>
      </c>
      <c r="D131" s="531"/>
      <c r="E131" s="151"/>
      <c r="F131" s="151"/>
      <c r="G131" s="152">
        <f t="shared" si="6"/>
        <v>0</v>
      </c>
      <c r="H131" s="151"/>
      <c r="I131" s="151"/>
      <c r="J131" s="528">
        <f t="shared" si="7"/>
        <v>0</v>
      </c>
      <c r="K131" s="649"/>
      <c r="L131" s="787"/>
      <c r="M131" s="531"/>
      <c r="N131" s="671"/>
    </row>
    <row r="132" spans="1:14" x14ac:dyDescent="0.25">
      <c r="A132" s="706">
        <v>119</v>
      </c>
      <c r="B132" s="410" t="s">
        <v>250</v>
      </c>
      <c r="C132" s="411" t="s">
        <v>251</v>
      </c>
      <c r="D132" s="531"/>
      <c r="E132" s="151"/>
      <c r="F132" s="151"/>
      <c r="G132" s="152">
        <f t="shared" si="6"/>
        <v>0</v>
      </c>
      <c r="H132" s="151"/>
      <c r="I132" s="151"/>
      <c r="J132" s="528">
        <f t="shared" si="7"/>
        <v>0</v>
      </c>
      <c r="K132" s="649"/>
      <c r="L132" s="787"/>
      <c r="M132" s="531"/>
      <c r="N132" s="671"/>
    </row>
    <row r="133" spans="1:14" x14ac:dyDescent="0.25">
      <c r="A133" s="706">
        <v>120</v>
      </c>
      <c r="B133" s="151" t="s">
        <v>252</v>
      </c>
      <c r="C133" s="422" t="s">
        <v>253</v>
      </c>
      <c r="D133" s="531"/>
      <c r="E133" s="151"/>
      <c r="F133" s="151"/>
      <c r="G133" s="152">
        <f t="shared" si="6"/>
        <v>0</v>
      </c>
      <c r="H133" s="151"/>
      <c r="I133" s="151"/>
      <c r="J133" s="528">
        <f t="shared" si="7"/>
        <v>0</v>
      </c>
      <c r="K133" s="649"/>
      <c r="L133" s="787"/>
      <c r="M133" s="531"/>
      <c r="N133" s="671"/>
    </row>
    <row r="134" spans="1:14" x14ac:dyDescent="0.25">
      <c r="A134" s="706">
        <v>121</v>
      </c>
      <c r="B134" s="408" t="s">
        <v>254</v>
      </c>
      <c r="C134" s="409" t="s">
        <v>255</v>
      </c>
      <c r="D134" s="531"/>
      <c r="E134" s="151"/>
      <c r="F134" s="151"/>
      <c r="G134" s="152">
        <f t="shared" si="6"/>
        <v>0</v>
      </c>
      <c r="H134" s="151"/>
      <c r="I134" s="151"/>
      <c r="J134" s="528">
        <f t="shared" si="7"/>
        <v>0</v>
      </c>
      <c r="K134" s="649"/>
      <c r="L134" s="787"/>
      <c r="M134" s="531"/>
      <c r="N134" s="671"/>
    </row>
    <row r="135" spans="1:14" x14ac:dyDescent="0.25">
      <c r="A135" s="706">
        <v>122</v>
      </c>
      <c r="B135" s="410" t="s">
        <v>256</v>
      </c>
      <c r="C135" s="411" t="s">
        <v>257</v>
      </c>
      <c r="D135" s="531"/>
      <c r="E135" s="151"/>
      <c r="F135" s="151"/>
      <c r="G135" s="152">
        <f t="shared" si="6"/>
        <v>0</v>
      </c>
      <c r="H135" s="151"/>
      <c r="I135" s="151"/>
      <c r="J135" s="528">
        <f t="shared" si="7"/>
        <v>0</v>
      </c>
      <c r="K135" s="649"/>
      <c r="L135" s="787"/>
      <c r="M135" s="531"/>
      <c r="N135" s="671"/>
    </row>
    <row r="136" spans="1:14" x14ac:dyDescent="0.25">
      <c r="A136" s="706">
        <v>123</v>
      </c>
      <c r="B136" s="408" t="s">
        <v>258</v>
      </c>
      <c r="C136" s="411" t="s">
        <v>259</v>
      </c>
      <c r="D136" s="531"/>
      <c r="E136" s="151"/>
      <c r="F136" s="151"/>
      <c r="G136" s="152">
        <f t="shared" si="6"/>
        <v>0</v>
      </c>
      <c r="H136" s="151"/>
      <c r="I136" s="151"/>
      <c r="J136" s="528">
        <f t="shared" si="7"/>
        <v>0</v>
      </c>
      <c r="K136" s="649"/>
      <c r="L136" s="787"/>
      <c r="M136" s="531"/>
      <c r="N136" s="671"/>
    </row>
    <row r="137" spans="1:14" x14ac:dyDescent="0.25">
      <c r="A137" s="706">
        <v>124</v>
      </c>
      <c r="B137" s="410" t="s">
        <v>260</v>
      </c>
      <c r="C137" s="411" t="s">
        <v>261</v>
      </c>
      <c r="D137" s="531"/>
      <c r="E137" s="151"/>
      <c r="F137" s="151"/>
      <c r="G137" s="152">
        <f t="shared" si="6"/>
        <v>0</v>
      </c>
      <c r="H137" s="151"/>
      <c r="I137" s="151"/>
      <c r="J137" s="528">
        <f t="shared" si="7"/>
        <v>0</v>
      </c>
      <c r="K137" s="649"/>
      <c r="L137" s="787"/>
      <c r="M137" s="531"/>
      <c r="N137" s="671"/>
    </row>
    <row r="138" spans="1:14" x14ac:dyDescent="0.25">
      <c r="A138" s="706">
        <v>125</v>
      </c>
      <c r="B138" s="410" t="s">
        <v>262</v>
      </c>
      <c r="C138" s="411" t="s">
        <v>263</v>
      </c>
      <c r="D138" s="531"/>
      <c r="E138" s="151"/>
      <c r="F138" s="151"/>
      <c r="G138" s="152">
        <f t="shared" si="6"/>
        <v>0</v>
      </c>
      <c r="H138" s="151"/>
      <c r="I138" s="151"/>
      <c r="J138" s="528">
        <f t="shared" si="7"/>
        <v>0</v>
      </c>
      <c r="K138" s="649"/>
      <c r="L138" s="787"/>
      <c r="M138" s="531"/>
      <c r="N138" s="671"/>
    </row>
    <row r="139" spans="1:14" x14ac:dyDescent="0.25">
      <c r="A139" s="706">
        <v>126</v>
      </c>
      <c r="B139" s="408" t="s">
        <v>264</v>
      </c>
      <c r="C139" s="411" t="s">
        <v>265</v>
      </c>
      <c r="D139" s="531"/>
      <c r="E139" s="151"/>
      <c r="F139" s="151"/>
      <c r="G139" s="152">
        <f t="shared" si="6"/>
        <v>0</v>
      </c>
      <c r="H139" s="151"/>
      <c r="I139" s="151"/>
      <c r="J139" s="528">
        <f t="shared" si="7"/>
        <v>0</v>
      </c>
      <c r="K139" s="649"/>
      <c r="L139" s="787"/>
      <c r="M139" s="531"/>
      <c r="N139" s="671"/>
    </row>
    <row r="140" spans="1:14" x14ac:dyDescent="0.25">
      <c r="A140" s="706">
        <v>127</v>
      </c>
      <c r="B140" s="410" t="s">
        <v>266</v>
      </c>
      <c r="C140" s="411" t="s">
        <v>267</v>
      </c>
      <c r="D140" s="531"/>
      <c r="E140" s="151"/>
      <c r="F140" s="151"/>
      <c r="G140" s="152">
        <f t="shared" ref="G140:G153" si="8">SUM(D140:F140)</f>
        <v>0</v>
      </c>
      <c r="H140" s="151"/>
      <c r="I140" s="151"/>
      <c r="J140" s="528">
        <f t="shared" ref="J140:J153" si="9">SUM(H140:I140)</f>
        <v>0</v>
      </c>
      <c r="K140" s="649"/>
      <c r="L140" s="787"/>
      <c r="M140" s="531"/>
      <c r="N140" s="671"/>
    </row>
    <row r="141" spans="1:14" x14ac:dyDescent="0.25">
      <c r="A141" s="706">
        <v>128</v>
      </c>
      <c r="B141" s="408" t="s">
        <v>268</v>
      </c>
      <c r="C141" s="409" t="s">
        <v>269</v>
      </c>
      <c r="D141" s="531"/>
      <c r="E141" s="151"/>
      <c r="F141" s="151"/>
      <c r="G141" s="152">
        <f t="shared" si="8"/>
        <v>0</v>
      </c>
      <c r="H141" s="151"/>
      <c r="I141" s="151"/>
      <c r="J141" s="528">
        <f t="shared" si="9"/>
        <v>0</v>
      </c>
      <c r="K141" s="649"/>
      <c r="L141" s="787"/>
      <c r="M141" s="531"/>
      <c r="N141" s="671"/>
    </row>
    <row r="142" spans="1:14" x14ac:dyDescent="0.25">
      <c r="A142" s="706">
        <v>129</v>
      </c>
      <c r="B142" s="408" t="s">
        <v>270</v>
      </c>
      <c r="C142" s="409" t="s">
        <v>271</v>
      </c>
      <c r="D142" s="531"/>
      <c r="E142" s="151"/>
      <c r="F142" s="151"/>
      <c r="G142" s="152">
        <f t="shared" si="8"/>
        <v>0</v>
      </c>
      <c r="H142" s="151"/>
      <c r="I142" s="151"/>
      <c r="J142" s="528">
        <f t="shared" si="9"/>
        <v>0</v>
      </c>
      <c r="K142" s="649"/>
      <c r="L142" s="787"/>
      <c r="M142" s="531"/>
      <c r="N142" s="671"/>
    </row>
    <row r="143" spans="1:14" x14ac:dyDescent="0.25">
      <c r="A143" s="706">
        <v>130</v>
      </c>
      <c r="B143" s="410" t="s">
        <v>272</v>
      </c>
      <c r="C143" s="411" t="s">
        <v>273</v>
      </c>
      <c r="D143" s="531"/>
      <c r="E143" s="151"/>
      <c r="F143" s="151"/>
      <c r="G143" s="152">
        <f t="shared" si="8"/>
        <v>0</v>
      </c>
      <c r="H143" s="151"/>
      <c r="I143" s="151"/>
      <c r="J143" s="528">
        <f t="shared" si="9"/>
        <v>0</v>
      </c>
      <c r="K143" s="649"/>
      <c r="L143" s="787"/>
      <c r="M143" s="531"/>
      <c r="N143" s="671"/>
    </row>
    <row r="144" spans="1:14" x14ac:dyDescent="0.25">
      <c r="A144" s="706">
        <v>131</v>
      </c>
      <c r="B144" s="410" t="s">
        <v>274</v>
      </c>
      <c r="C144" s="411" t="s">
        <v>275</v>
      </c>
      <c r="D144" s="531"/>
      <c r="E144" s="151"/>
      <c r="F144" s="151"/>
      <c r="G144" s="152">
        <f t="shared" si="8"/>
        <v>0</v>
      </c>
      <c r="H144" s="151"/>
      <c r="I144" s="151"/>
      <c r="J144" s="528">
        <f t="shared" si="9"/>
        <v>0</v>
      </c>
      <c r="K144" s="649"/>
      <c r="L144" s="787"/>
      <c r="M144" s="531"/>
      <c r="N144" s="671"/>
    </row>
    <row r="145" spans="1:14" x14ac:dyDescent="0.25">
      <c r="A145" s="706">
        <v>132</v>
      </c>
      <c r="B145" s="410" t="s">
        <v>276</v>
      </c>
      <c r="C145" s="411" t="s">
        <v>277</v>
      </c>
      <c r="D145" s="531"/>
      <c r="E145" s="151"/>
      <c r="F145" s="151"/>
      <c r="G145" s="152">
        <f t="shared" si="8"/>
        <v>0</v>
      </c>
      <c r="H145" s="151"/>
      <c r="I145" s="151"/>
      <c r="J145" s="528">
        <f t="shared" si="9"/>
        <v>0</v>
      </c>
      <c r="K145" s="649"/>
      <c r="L145" s="787"/>
      <c r="M145" s="531"/>
      <c r="N145" s="671"/>
    </row>
    <row r="146" spans="1:14" x14ac:dyDescent="0.25">
      <c r="A146" s="706">
        <v>133</v>
      </c>
      <c r="B146" s="410" t="s">
        <v>278</v>
      </c>
      <c r="C146" s="411" t="s">
        <v>279</v>
      </c>
      <c r="D146" s="531">
        <v>6750</v>
      </c>
      <c r="E146" s="151"/>
      <c r="F146" s="151"/>
      <c r="G146" s="152">
        <f t="shared" si="8"/>
        <v>6750</v>
      </c>
      <c r="H146" s="151">
        <v>1125</v>
      </c>
      <c r="I146" s="151"/>
      <c r="J146" s="528">
        <f t="shared" si="9"/>
        <v>1125</v>
      </c>
      <c r="K146" s="649"/>
      <c r="L146" s="787"/>
      <c r="M146" s="531"/>
      <c r="N146" s="671"/>
    </row>
    <row r="147" spans="1:14" x14ac:dyDescent="0.25">
      <c r="A147" s="706">
        <v>134</v>
      </c>
      <c r="B147" s="410" t="s">
        <v>280</v>
      </c>
      <c r="C147" s="411" t="s">
        <v>281</v>
      </c>
      <c r="D147" s="531"/>
      <c r="E147" s="151"/>
      <c r="F147" s="151"/>
      <c r="G147" s="152">
        <f t="shared" si="8"/>
        <v>0</v>
      </c>
      <c r="H147" s="151"/>
      <c r="I147" s="151"/>
      <c r="J147" s="528">
        <f t="shared" si="9"/>
        <v>0</v>
      </c>
      <c r="K147" s="649"/>
      <c r="L147" s="787"/>
      <c r="M147" s="531"/>
      <c r="N147" s="671"/>
    </row>
    <row r="148" spans="1:14" x14ac:dyDescent="0.25">
      <c r="A148" s="706">
        <v>135</v>
      </c>
      <c r="B148" s="408" t="s">
        <v>282</v>
      </c>
      <c r="C148" s="409" t="s">
        <v>283</v>
      </c>
      <c r="D148" s="531"/>
      <c r="E148" s="151"/>
      <c r="F148" s="151"/>
      <c r="G148" s="152">
        <f t="shared" si="8"/>
        <v>0</v>
      </c>
      <c r="H148" s="151"/>
      <c r="I148" s="151"/>
      <c r="J148" s="528">
        <f t="shared" si="9"/>
        <v>0</v>
      </c>
      <c r="K148" s="649"/>
      <c r="L148" s="787"/>
      <c r="M148" s="531"/>
      <c r="N148" s="671"/>
    </row>
    <row r="149" spans="1:14" x14ac:dyDescent="0.25">
      <c r="A149" s="706">
        <v>136</v>
      </c>
      <c r="B149" s="410" t="s">
        <v>284</v>
      </c>
      <c r="C149" s="411" t="s">
        <v>285</v>
      </c>
      <c r="D149" s="531"/>
      <c r="E149" s="151"/>
      <c r="F149" s="151"/>
      <c r="G149" s="152">
        <f t="shared" si="8"/>
        <v>0</v>
      </c>
      <c r="H149" s="151"/>
      <c r="I149" s="151"/>
      <c r="J149" s="528">
        <f t="shared" si="9"/>
        <v>0</v>
      </c>
      <c r="K149" s="649"/>
      <c r="L149" s="787"/>
      <c r="M149" s="531"/>
      <c r="N149" s="671"/>
    </row>
    <row r="150" spans="1:14" x14ac:dyDescent="0.25">
      <c r="A150" s="706">
        <v>137</v>
      </c>
      <c r="B150" s="425" t="s">
        <v>387</v>
      </c>
      <c r="C150" s="417" t="s">
        <v>388</v>
      </c>
      <c r="D150" s="531"/>
      <c r="E150" s="151"/>
      <c r="F150" s="151"/>
      <c r="G150" s="152">
        <f t="shared" si="8"/>
        <v>0</v>
      </c>
      <c r="H150" s="151"/>
      <c r="I150" s="151"/>
      <c r="J150" s="528">
        <f t="shared" si="9"/>
        <v>0</v>
      </c>
      <c r="K150" s="649"/>
      <c r="L150" s="787"/>
      <c r="M150" s="531"/>
      <c r="N150" s="671"/>
    </row>
    <row r="151" spans="1:14" x14ac:dyDescent="0.25">
      <c r="A151" s="706">
        <v>138</v>
      </c>
      <c r="B151" s="426" t="s">
        <v>389</v>
      </c>
      <c r="C151" s="427" t="s">
        <v>390</v>
      </c>
      <c r="D151" s="531"/>
      <c r="E151" s="151"/>
      <c r="F151" s="151"/>
      <c r="G151" s="152">
        <f t="shared" si="8"/>
        <v>0</v>
      </c>
      <c r="H151" s="151"/>
      <c r="I151" s="151"/>
      <c r="J151" s="528">
        <f t="shared" si="9"/>
        <v>0</v>
      </c>
      <c r="K151" s="649"/>
      <c r="L151" s="787"/>
      <c r="M151" s="531"/>
      <c r="N151" s="671"/>
    </row>
    <row r="152" spans="1:14" x14ac:dyDescent="0.25">
      <c r="A152" s="706">
        <v>139</v>
      </c>
      <c r="B152" s="425" t="s">
        <v>391</v>
      </c>
      <c r="C152" s="417" t="s">
        <v>392</v>
      </c>
      <c r="D152" s="531"/>
      <c r="E152" s="151">
        <v>419945</v>
      </c>
      <c r="F152" s="151">
        <v>99924</v>
      </c>
      <c r="G152" s="152">
        <f t="shared" si="8"/>
        <v>519869</v>
      </c>
      <c r="H152" s="151"/>
      <c r="I152" s="151">
        <v>151965</v>
      </c>
      <c r="J152" s="528">
        <f t="shared" si="9"/>
        <v>151965</v>
      </c>
      <c r="K152" s="649">
        <v>6603</v>
      </c>
      <c r="L152" s="787">
        <v>526204</v>
      </c>
      <c r="M152" s="531">
        <v>799</v>
      </c>
      <c r="N152" s="671">
        <v>41540</v>
      </c>
    </row>
    <row r="153" spans="1:14" ht="12.75" thickBot="1" x14ac:dyDescent="0.3">
      <c r="A153" s="430">
        <v>140</v>
      </c>
      <c r="B153" s="431" t="s">
        <v>393</v>
      </c>
      <c r="C153" s="432" t="s">
        <v>394</v>
      </c>
      <c r="D153" s="533"/>
      <c r="E153" s="534"/>
      <c r="F153" s="534"/>
      <c r="G153" s="535">
        <f t="shared" si="8"/>
        <v>0</v>
      </c>
      <c r="H153" s="534"/>
      <c r="I153" s="534"/>
      <c r="J153" s="536">
        <f t="shared" si="9"/>
        <v>0</v>
      </c>
      <c r="K153" s="537"/>
      <c r="L153" s="793"/>
      <c r="M153" s="533"/>
      <c r="N153" s="676"/>
    </row>
    <row r="154" spans="1:14" x14ac:dyDescent="0.25">
      <c r="G154" s="149"/>
    </row>
    <row r="155" spans="1:14" x14ac:dyDescent="0.25">
      <c r="G155" s="149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M58"/>
  <sheetViews>
    <sheetView zoomScale="95" zoomScaleNormal="95" workbookViewId="0">
      <selection activeCell="J14" sqref="J14"/>
    </sheetView>
  </sheetViews>
  <sheetFormatPr defaultRowHeight="12.75" x14ac:dyDescent="0.25"/>
  <cols>
    <col min="1" max="1" width="6.140625" style="233" customWidth="1"/>
    <col min="2" max="2" width="10.5703125" style="234" customWidth="1"/>
    <col min="3" max="3" width="43" style="204" customWidth="1"/>
    <col min="4" max="4" width="10.7109375" style="204" customWidth="1"/>
    <col min="5" max="5" width="10.5703125" style="235" customWidth="1"/>
    <col min="6" max="6" width="11" style="235" customWidth="1"/>
    <col min="7" max="7" width="11.7109375" style="235" customWidth="1"/>
    <col min="8" max="8" width="10.85546875" style="235" customWidth="1"/>
    <col min="9" max="9" width="10.42578125" style="235" customWidth="1"/>
    <col min="10" max="10" width="9" style="235" customWidth="1"/>
    <col min="11" max="11" width="10.42578125" style="235" customWidth="1"/>
    <col min="12" max="12" width="13.85546875" style="235" customWidth="1"/>
    <col min="13" max="13" width="10.7109375" style="235" customWidth="1"/>
    <col min="14" max="14" width="11.85546875" style="204" customWidth="1"/>
    <col min="15" max="16384" width="9.140625" style="204"/>
  </cols>
  <sheetData>
    <row r="1" spans="1:13" ht="22.5" customHeight="1" x14ac:dyDescent="0.25">
      <c r="A1" s="1266" t="s">
        <v>656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6"/>
      <c r="L1" s="1266"/>
      <c r="M1" s="1266"/>
    </row>
    <row r="3" spans="1:13" ht="15.75" customHeight="1" x14ac:dyDescent="0.25">
      <c r="A3" s="1267" t="s">
        <v>0</v>
      </c>
      <c r="B3" s="1268" t="s">
        <v>302</v>
      </c>
      <c r="C3" s="1267" t="s">
        <v>292</v>
      </c>
      <c r="D3" s="205"/>
      <c r="E3" s="206" t="s">
        <v>657</v>
      </c>
      <c r="F3" s="207"/>
      <c r="G3" s="207"/>
      <c r="H3" s="208"/>
      <c r="I3" s="205"/>
      <c r="J3" s="209" t="s">
        <v>658</v>
      </c>
      <c r="K3" s="210"/>
      <c r="L3" s="211"/>
      <c r="M3" s="1270" t="s">
        <v>594</v>
      </c>
    </row>
    <row r="4" spans="1:13" ht="28.5" customHeight="1" x14ac:dyDescent="0.25">
      <c r="A4" s="1267"/>
      <c r="B4" s="1269"/>
      <c r="C4" s="1267"/>
      <c r="D4" s="212" t="s">
        <v>659</v>
      </c>
      <c r="E4" s="213" t="s">
        <v>660</v>
      </c>
      <c r="F4" s="213" t="s">
        <v>661</v>
      </c>
      <c r="G4" s="214" t="s">
        <v>662</v>
      </c>
      <c r="H4" s="214" t="s">
        <v>6</v>
      </c>
      <c r="I4" s="213" t="s">
        <v>660</v>
      </c>
      <c r="J4" s="213" t="s">
        <v>661</v>
      </c>
      <c r="K4" s="214" t="s">
        <v>662</v>
      </c>
      <c r="L4" s="214" t="s">
        <v>6</v>
      </c>
      <c r="M4" s="1270"/>
    </row>
    <row r="5" spans="1:13" ht="12.75" customHeight="1" x14ac:dyDescent="0.25">
      <c r="A5" s="212"/>
      <c r="B5" s="215"/>
      <c r="C5" s="216" t="s">
        <v>6</v>
      </c>
      <c r="D5" s="217">
        <f>D6+D7</f>
        <v>13988</v>
      </c>
      <c r="E5" s="218">
        <f t="shared" ref="E5:M5" si="0">E6+E7</f>
        <v>140707</v>
      </c>
      <c r="F5" s="218">
        <f t="shared" si="0"/>
        <v>2212</v>
      </c>
      <c r="G5" s="217">
        <f t="shared" si="0"/>
        <v>31312</v>
      </c>
      <c r="H5" s="217">
        <f t="shared" si="0"/>
        <v>188219</v>
      </c>
      <c r="I5" s="218">
        <f t="shared" si="0"/>
        <v>61522</v>
      </c>
      <c r="J5" s="218">
        <f t="shared" si="0"/>
        <v>1860</v>
      </c>
      <c r="K5" s="217">
        <f t="shared" si="0"/>
        <v>4419</v>
      </c>
      <c r="L5" s="217">
        <f t="shared" si="0"/>
        <v>67801</v>
      </c>
      <c r="M5" s="217">
        <f t="shared" si="0"/>
        <v>256020</v>
      </c>
    </row>
    <row r="6" spans="1:13" ht="12.75" customHeight="1" x14ac:dyDescent="0.25">
      <c r="A6" s="212"/>
      <c r="B6" s="215"/>
      <c r="C6" s="219" t="s">
        <v>14</v>
      </c>
      <c r="D6" s="220">
        <v>0</v>
      </c>
      <c r="E6" s="220">
        <v>0</v>
      </c>
      <c r="F6" s="220">
        <v>0</v>
      </c>
      <c r="G6" s="220">
        <v>0</v>
      </c>
      <c r="H6" s="213">
        <f>D6+E6+F6+G6</f>
        <v>0</v>
      </c>
      <c r="I6" s="213">
        <v>0</v>
      </c>
      <c r="J6" s="213">
        <v>0</v>
      </c>
      <c r="K6" s="213">
        <v>0</v>
      </c>
      <c r="L6" s="213">
        <f>I6+J6+K6</f>
        <v>0</v>
      </c>
      <c r="M6" s="213">
        <f>L6+H6</f>
        <v>0</v>
      </c>
    </row>
    <row r="7" spans="1:13" ht="12.75" customHeight="1" x14ac:dyDescent="0.25">
      <c r="A7" s="212"/>
      <c r="B7" s="215"/>
      <c r="C7" s="219" t="s">
        <v>15</v>
      </c>
      <c r="D7" s="217">
        <f t="shared" ref="D7:M7" si="1">SUM(D8:D52)</f>
        <v>13988</v>
      </c>
      <c r="E7" s="217">
        <f t="shared" si="1"/>
        <v>140707</v>
      </c>
      <c r="F7" s="217">
        <f t="shared" si="1"/>
        <v>2212</v>
      </c>
      <c r="G7" s="217">
        <f t="shared" si="1"/>
        <v>31312</v>
      </c>
      <c r="H7" s="217">
        <f t="shared" si="1"/>
        <v>188219</v>
      </c>
      <c r="I7" s="217">
        <f t="shared" si="1"/>
        <v>61522</v>
      </c>
      <c r="J7" s="217">
        <f t="shared" si="1"/>
        <v>1860</v>
      </c>
      <c r="K7" s="217">
        <f t="shared" si="1"/>
        <v>4419</v>
      </c>
      <c r="L7" s="217">
        <f>SUM(L8:L52)</f>
        <v>67801</v>
      </c>
      <c r="M7" s="217">
        <f t="shared" si="1"/>
        <v>256020</v>
      </c>
    </row>
    <row r="8" spans="1:13" ht="12.75" customHeight="1" x14ac:dyDescent="0.25">
      <c r="A8" s="221">
        <v>1</v>
      </c>
      <c r="B8" s="222" t="s">
        <v>20</v>
      </c>
      <c r="C8" s="203" t="s">
        <v>21</v>
      </c>
      <c r="D8" s="220"/>
      <c r="E8" s="220">
        <v>1648</v>
      </c>
      <c r="F8" s="220">
        <v>0</v>
      </c>
      <c r="G8" s="220">
        <v>427</v>
      </c>
      <c r="H8" s="213">
        <f t="shared" ref="H8:H14" si="2">D8+E8+F8+G8</f>
        <v>2075</v>
      </c>
      <c r="I8" s="213">
        <v>0</v>
      </c>
      <c r="J8" s="213">
        <v>0</v>
      </c>
      <c r="K8" s="213">
        <v>0</v>
      </c>
      <c r="L8" s="213">
        <f t="shared" ref="L8:L52" si="3">I8+J8+K8</f>
        <v>0</v>
      </c>
      <c r="M8" s="213">
        <f>H8+L8</f>
        <v>2075</v>
      </c>
    </row>
    <row r="9" spans="1:13" ht="12.75" customHeight="1" x14ac:dyDescent="0.25">
      <c r="A9" s="221">
        <v>2</v>
      </c>
      <c r="B9" s="222" t="s">
        <v>26</v>
      </c>
      <c r="C9" s="203" t="s">
        <v>663</v>
      </c>
      <c r="D9" s="220"/>
      <c r="E9" s="220">
        <v>6167</v>
      </c>
      <c r="F9" s="220">
        <v>0</v>
      </c>
      <c r="G9" s="220">
        <v>2154</v>
      </c>
      <c r="H9" s="213">
        <f t="shared" si="2"/>
        <v>8321</v>
      </c>
      <c r="I9" s="213">
        <v>2590</v>
      </c>
      <c r="J9" s="213">
        <v>0</v>
      </c>
      <c r="K9" s="213">
        <v>0</v>
      </c>
      <c r="L9" s="213">
        <f t="shared" si="3"/>
        <v>2590</v>
      </c>
      <c r="M9" s="213">
        <f>H9+L9</f>
        <v>10911</v>
      </c>
    </row>
    <row r="10" spans="1:13" ht="12.75" customHeight="1" x14ac:dyDescent="0.25">
      <c r="A10" s="221">
        <v>3</v>
      </c>
      <c r="B10" s="222" t="s">
        <v>28</v>
      </c>
      <c r="C10" s="203" t="s">
        <v>29</v>
      </c>
      <c r="D10" s="220"/>
      <c r="E10" s="220">
        <v>2212</v>
      </c>
      <c r="F10" s="220">
        <v>0</v>
      </c>
      <c r="G10" s="220">
        <v>0</v>
      </c>
      <c r="H10" s="213">
        <f t="shared" si="2"/>
        <v>2212</v>
      </c>
      <c r="I10" s="213">
        <v>0</v>
      </c>
      <c r="J10" s="213">
        <v>0</v>
      </c>
      <c r="K10" s="213">
        <v>0</v>
      </c>
      <c r="L10" s="213">
        <f t="shared" si="3"/>
        <v>0</v>
      </c>
      <c r="M10" s="213">
        <f t="shared" ref="M10:M52" si="4">H10+L10</f>
        <v>2212</v>
      </c>
    </row>
    <row r="11" spans="1:13" ht="12.75" customHeight="1" x14ac:dyDescent="0.25">
      <c r="A11" s="221">
        <v>4</v>
      </c>
      <c r="B11" s="222" t="s">
        <v>48</v>
      </c>
      <c r="C11" s="203" t="s">
        <v>49</v>
      </c>
      <c r="D11" s="220"/>
      <c r="E11" s="220">
        <v>1609</v>
      </c>
      <c r="F11" s="220">
        <v>59</v>
      </c>
      <c r="G11" s="220">
        <v>432</v>
      </c>
      <c r="H11" s="213">
        <f t="shared" si="2"/>
        <v>2100</v>
      </c>
      <c r="I11" s="213">
        <v>0</v>
      </c>
      <c r="J11" s="213">
        <v>0</v>
      </c>
      <c r="K11" s="213">
        <v>0</v>
      </c>
      <c r="L11" s="213">
        <f t="shared" si="3"/>
        <v>0</v>
      </c>
      <c r="M11" s="213">
        <f t="shared" si="4"/>
        <v>2100</v>
      </c>
    </row>
    <row r="12" spans="1:13" ht="12.75" customHeight="1" x14ac:dyDescent="0.25">
      <c r="A12" s="221">
        <v>5</v>
      </c>
      <c r="B12" s="222" t="s">
        <v>50</v>
      </c>
      <c r="C12" s="203" t="s">
        <v>51</v>
      </c>
      <c r="D12" s="220"/>
      <c r="E12" s="220">
        <v>4264</v>
      </c>
      <c r="F12" s="220">
        <v>0</v>
      </c>
      <c r="G12" s="220">
        <v>1546</v>
      </c>
      <c r="H12" s="213">
        <f t="shared" si="2"/>
        <v>5810</v>
      </c>
      <c r="I12" s="213">
        <v>1814</v>
      </c>
      <c r="J12" s="213">
        <v>0</v>
      </c>
      <c r="K12" s="213">
        <v>0</v>
      </c>
      <c r="L12" s="213">
        <f t="shared" si="3"/>
        <v>1814</v>
      </c>
      <c r="M12" s="213">
        <f t="shared" si="4"/>
        <v>7624</v>
      </c>
    </row>
    <row r="13" spans="1:13" ht="12.75" customHeight="1" x14ac:dyDescent="0.25">
      <c r="A13" s="221">
        <v>6</v>
      </c>
      <c r="B13" s="222" t="s">
        <v>56</v>
      </c>
      <c r="C13" s="203" t="s">
        <v>664</v>
      </c>
      <c r="D13" s="220"/>
      <c r="E13" s="220">
        <v>1695</v>
      </c>
      <c r="F13" s="220">
        <v>0</v>
      </c>
      <c r="G13" s="220">
        <v>0</v>
      </c>
      <c r="H13" s="213">
        <f t="shared" si="2"/>
        <v>1695</v>
      </c>
      <c r="I13" s="213">
        <v>0</v>
      </c>
      <c r="J13" s="213">
        <v>0</v>
      </c>
      <c r="K13" s="213">
        <v>0</v>
      </c>
      <c r="L13" s="213">
        <f t="shared" si="3"/>
        <v>0</v>
      </c>
      <c r="M13" s="213">
        <f>H13+L13</f>
        <v>1695</v>
      </c>
    </row>
    <row r="14" spans="1:13" ht="12.75" customHeight="1" x14ac:dyDescent="0.25">
      <c r="A14" s="221">
        <v>7</v>
      </c>
      <c r="B14" s="222" t="s">
        <v>58</v>
      </c>
      <c r="C14" s="203" t="s">
        <v>59</v>
      </c>
      <c r="D14" s="220"/>
      <c r="E14" s="220">
        <v>2094</v>
      </c>
      <c r="F14" s="220">
        <v>76</v>
      </c>
      <c r="G14" s="220">
        <v>561</v>
      </c>
      <c r="H14" s="213">
        <f t="shared" si="2"/>
        <v>2731</v>
      </c>
      <c r="I14" s="213">
        <v>1049</v>
      </c>
      <c r="J14" s="213">
        <v>338</v>
      </c>
      <c r="K14" s="213">
        <v>87</v>
      </c>
      <c r="L14" s="213">
        <f t="shared" si="3"/>
        <v>1474</v>
      </c>
      <c r="M14" s="213">
        <f t="shared" si="4"/>
        <v>4205</v>
      </c>
    </row>
    <row r="15" spans="1:13" ht="12.75" customHeight="1" x14ac:dyDescent="0.25">
      <c r="A15" s="221">
        <v>8</v>
      </c>
      <c r="B15" s="222" t="s">
        <v>62</v>
      </c>
      <c r="C15" s="203" t="s">
        <v>63</v>
      </c>
      <c r="D15" s="220"/>
      <c r="E15" s="220">
        <v>0</v>
      </c>
      <c r="F15" s="220">
        <v>0</v>
      </c>
      <c r="G15" s="220">
        <v>0</v>
      </c>
      <c r="H15" s="220">
        <v>0</v>
      </c>
      <c r="I15" s="213">
        <v>749</v>
      </c>
      <c r="J15" s="213">
        <v>242</v>
      </c>
      <c r="K15" s="213">
        <v>63</v>
      </c>
      <c r="L15" s="213">
        <f t="shared" si="3"/>
        <v>1054</v>
      </c>
      <c r="M15" s="213">
        <f t="shared" si="4"/>
        <v>1054</v>
      </c>
    </row>
    <row r="16" spans="1:13" ht="12.75" customHeight="1" x14ac:dyDescent="0.25">
      <c r="A16" s="221">
        <v>9</v>
      </c>
      <c r="B16" s="222" t="s">
        <v>66</v>
      </c>
      <c r="C16" s="203" t="s">
        <v>482</v>
      </c>
      <c r="D16" s="220"/>
      <c r="E16" s="220">
        <v>6768</v>
      </c>
      <c r="F16" s="220">
        <v>201</v>
      </c>
      <c r="G16" s="220">
        <v>1232</v>
      </c>
      <c r="H16" s="213">
        <f>D16+E16+F16+G16</f>
        <v>8201</v>
      </c>
      <c r="I16" s="213">
        <v>2849</v>
      </c>
      <c r="J16" s="213">
        <v>99</v>
      </c>
      <c r="K16" s="213">
        <v>0</v>
      </c>
      <c r="L16" s="213">
        <f t="shared" si="3"/>
        <v>2948</v>
      </c>
      <c r="M16" s="213">
        <f>H16+L16</f>
        <v>11149</v>
      </c>
    </row>
    <row r="17" spans="1:13" ht="12.75" customHeight="1" x14ac:dyDescent="0.25">
      <c r="A17" s="221">
        <v>10</v>
      </c>
      <c r="B17" s="222" t="s">
        <v>68</v>
      </c>
      <c r="C17" s="203" t="s">
        <v>69</v>
      </c>
      <c r="D17" s="220"/>
      <c r="E17" s="220">
        <v>1453</v>
      </c>
      <c r="F17" s="220">
        <v>49</v>
      </c>
      <c r="G17" s="220">
        <v>360</v>
      </c>
      <c r="H17" s="213">
        <f t="shared" ref="H17:H52" si="5">D17+E17+F17+G17</f>
        <v>1862</v>
      </c>
      <c r="I17" s="213">
        <v>0</v>
      </c>
      <c r="J17" s="213">
        <v>0</v>
      </c>
      <c r="K17" s="213">
        <v>0</v>
      </c>
      <c r="L17" s="213">
        <f t="shared" si="3"/>
        <v>0</v>
      </c>
      <c r="M17" s="213">
        <f t="shared" si="4"/>
        <v>1862</v>
      </c>
    </row>
    <row r="18" spans="1:13" ht="12.75" customHeight="1" x14ac:dyDescent="0.25">
      <c r="A18" s="221">
        <v>11</v>
      </c>
      <c r="B18" s="222" t="s">
        <v>77</v>
      </c>
      <c r="C18" s="203" t="s">
        <v>78</v>
      </c>
      <c r="D18" s="220"/>
      <c r="E18" s="220">
        <v>2712</v>
      </c>
      <c r="F18" s="220">
        <v>15</v>
      </c>
      <c r="G18" s="220">
        <v>78</v>
      </c>
      <c r="H18" s="213">
        <f t="shared" si="5"/>
        <v>2805</v>
      </c>
      <c r="I18" s="213">
        <v>0</v>
      </c>
      <c r="J18" s="213">
        <v>0</v>
      </c>
      <c r="K18" s="213">
        <v>0</v>
      </c>
      <c r="L18" s="213">
        <f t="shared" si="3"/>
        <v>0</v>
      </c>
      <c r="M18" s="213">
        <f t="shared" si="4"/>
        <v>2805</v>
      </c>
    </row>
    <row r="19" spans="1:13" ht="12.75" customHeight="1" x14ac:dyDescent="0.25">
      <c r="A19" s="221">
        <v>12</v>
      </c>
      <c r="B19" s="222" t="s">
        <v>79</v>
      </c>
      <c r="C19" s="203" t="s">
        <v>80</v>
      </c>
      <c r="D19" s="220"/>
      <c r="E19" s="220">
        <v>4085</v>
      </c>
      <c r="F19" s="220">
        <v>141</v>
      </c>
      <c r="G19" s="220">
        <v>0</v>
      </c>
      <c r="H19" s="213">
        <f t="shared" si="5"/>
        <v>4226</v>
      </c>
      <c r="I19" s="213">
        <v>0</v>
      </c>
      <c r="J19" s="213">
        <v>0</v>
      </c>
      <c r="K19" s="213">
        <v>0</v>
      </c>
      <c r="L19" s="213">
        <f t="shared" si="3"/>
        <v>0</v>
      </c>
      <c r="M19" s="213">
        <f t="shared" si="4"/>
        <v>4226</v>
      </c>
    </row>
    <row r="20" spans="1:13" ht="12.75" customHeight="1" x14ac:dyDescent="0.25">
      <c r="A20" s="221">
        <v>13</v>
      </c>
      <c r="B20" s="222" t="s">
        <v>83</v>
      </c>
      <c r="C20" s="203" t="s">
        <v>84</v>
      </c>
      <c r="D20" s="220"/>
      <c r="E20" s="220">
        <v>2843</v>
      </c>
      <c r="F20" s="220">
        <v>98</v>
      </c>
      <c r="G20" s="220">
        <v>0</v>
      </c>
      <c r="H20" s="213">
        <f t="shared" si="5"/>
        <v>2941</v>
      </c>
      <c r="I20" s="213">
        <v>0</v>
      </c>
      <c r="J20" s="213">
        <v>0</v>
      </c>
      <c r="K20" s="213">
        <v>0</v>
      </c>
      <c r="L20" s="213">
        <f t="shared" si="3"/>
        <v>0</v>
      </c>
      <c r="M20" s="213">
        <f t="shared" si="4"/>
        <v>2941</v>
      </c>
    </row>
    <row r="21" spans="1:13" ht="12.75" customHeight="1" x14ac:dyDescent="0.25">
      <c r="A21" s="221">
        <v>14</v>
      </c>
      <c r="B21" s="222" t="s">
        <v>87</v>
      </c>
      <c r="C21" s="203" t="s">
        <v>88</v>
      </c>
      <c r="D21" s="220"/>
      <c r="E21" s="220">
        <v>3131</v>
      </c>
      <c r="F21" s="220">
        <v>0</v>
      </c>
      <c r="G21" s="220">
        <v>798</v>
      </c>
      <c r="H21" s="213">
        <f t="shared" si="5"/>
        <v>3929</v>
      </c>
      <c r="I21" s="213">
        <v>0</v>
      </c>
      <c r="J21" s="213">
        <v>0</v>
      </c>
      <c r="K21" s="213">
        <v>0</v>
      </c>
      <c r="L21" s="213">
        <f t="shared" si="3"/>
        <v>0</v>
      </c>
      <c r="M21" s="213">
        <f t="shared" si="4"/>
        <v>3929</v>
      </c>
    </row>
    <row r="22" spans="1:13" ht="12.75" customHeight="1" x14ac:dyDescent="0.25">
      <c r="A22" s="221">
        <v>15</v>
      </c>
      <c r="B22" s="222" t="s">
        <v>97</v>
      </c>
      <c r="C22" s="203" t="s">
        <v>665</v>
      </c>
      <c r="D22" s="220"/>
      <c r="E22" s="220">
        <v>548</v>
      </c>
      <c r="F22" s="220">
        <v>15</v>
      </c>
      <c r="G22" s="220">
        <v>109</v>
      </c>
      <c r="H22" s="213">
        <f>D22+E22+F22+G22</f>
        <v>672</v>
      </c>
      <c r="I22" s="213">
        <v>210</v>
      </c>
      <c r="J22" s="213">
        <v>0</v>
      </c>
      <c r="K22" s="213">
        <v>0</v>
      </c>
      <c r="L22" s="213">
        <f t="shared" si="3"/>
        <v>210</v>
      </c>
      <c r="M22" s="213">
        <f>H22+L22</f>
        <v>882</v>
      </c>
    </row>
    <row r="23" spans="1:13" ht="12.75" customHeight="1" x14ac:dyDescent="0.25">
      <c r="A23" s="221">
        <v>16</v>
      </c>
      <c r="B23" s="222" t="s">
        <v>99</v>
      </c>
      <c r="C23" s="203" t="s">
        <v>666</v>
      </c>
      <c r="D23" s="220"/>
      <c r="E23" s="220">
        <v>3663</v>
      </c>
      <c r="F23" s="220">
        <v>53</v>
      </c>
      <c r="G23" s="220">
        <v>76</v>
      </c>
      <c r="H23" s="213">
        <f>D23+E23+F23+G23</f>
        <v>3792</v>
      </c>
      <c r="I23" s="213">
        <v>2649</v>
      </c>
      <c r="J23" s="213">
        <v>28</v>
      </c>
      <c r="K23" s="213">
        <v>39</v>
      </c>
      <c r="L23" s="213">
        <f t="shared" si="3"/>
        <v>2716</v>
      </c>
      <c r="M23" s="213">
        <f>H23+L23</f>
        <v>6508</v>
      </c>
    </row>
    <row r="24" spans="1:13" ht="12.75" customHeight="1" x14ac:dyDescent="0.25">
      <c r="A24" s="221">
        <v>17</v>
      </c>
      <c r="B24" s="222" t="s">
        <v>103</v>
      </c>
      <c r="C24" s="203" t="s">
        <v>104</v>
      </c>
      <c r="D24" s="220"/>
      <c r="E24" s="220">
        <v>1093</v>
      </c>
      <c r="F24" s="220">
        <v>37</v>
      </c>
      <c r="G24" s="220">
        <v>0</v>
      </c>
      <c r="H24" s="213">
        <f t="shared" si="5"/>
        <v>1130</v>
      </c>
      <c r="I24" s="213">
        <v>0</v>
      </c>
      <c r="J24" s="213">
        <v>0</v>
      </c>
      <c r="K24" s="213">
        <v>0</v>
      </c>
      <c r="L24" s="213">
        <f t="shared" si="3"/>
        <v>0</v>
      </c>
      <c r="M24" s="213">
        <f t="shared" si="4"/>
        <v>1130</v>
      </c>
    </row>
    <row r="25" spans="1:13" ht="12.75" customHeight="1" x14ac:dyDescent="0.25">
      <c r="A25" s="221">
        <v>18</v>
      </c>
      <c r="B25" s="222" t="s">
        <v>117</v>
      </c>
      <c r="C25" s="203" t="s">
        <v>118</v>
      </c>
      <c r="D25" s="220"/>
      <c r="E25" s="220">
        <v>4255</v>
      </c>
      <c r="F25" s="220">
        <v>0</v>
      </c>
      <c r="G25" s="220">
        <v>0</v>
      </c>
      <c r="H25" s="213">
        <f t="shared" si="5"/>
        <v>4255</v>
      </c>
      <c r="I25" s="213">
        <v>0</v>
      </c>
      <c r="J25" s="213">
        <v>0</v>
      </c>
      <c r="K25" s="213">
        <v>0</v>
      </c>
      <c r="L25" s="213">
        <f t="shared" si="3"/>
        <v>0</v>
      </c>
      <c r="M25" s="213">
        <f t="shared" si="4"/>
        <v>4255</v>
      </c>
    </row>
    <row r="26" spans="1:13" ht="12.75" customHeight="1" x14ac:dyDescent="0.25">
      <c r="A26" s="221">
        <v>19</v>
      </c>
      <c r="B26" s="222" t="s">
        <v>143</v>
      </c>
      <c r="C26" s="203" t="s">
        <v>144</v>
      </c>
      <c r="D26" s="220"/>
      <c r="E26" s="220">
        <v>1214</v>
      </c>
      <c r="F26" s="220">
        <v>0</v>
      </c>
      <c r="G26" s="220">
        <v>0</v>
      </c>
      <c r="H26" s="213">
        <f t="shared" si="5"/>
        <v>1214</v>
      </c>
      <c r="I26" s="213">
        <v>0</v>
      </c>
      <c r="J26" s="213">
        <v>0</v>
      </c>
      <c r="K26" s="213">
        <v>0</v>
      </c>
      <c r="L26" s="213">
        <f t="shared" si="3"/>
        <v>0</v>
      </c>
      <c r="M26" s="213">
        <f t="shared" si="4"/>
        <v>1214</v>
      </c>
    </row>
    <row r="27" spans="1:13" ht="12.75" customHeight="1" x14ac:dyDescent="0.25">
      <c r="A27" s="221">
        <v>20</v>
      </c>
      <c r="B27" s="222" t="s">
        <v>161</v>
      </c>
      <c r="C27" s="203" t="s">
        <v>667</v>
      </c>
      <c r="D27" s="220"/>
      <c r="E27" s="220">
        <v>1909</v>
      </c>
      <c r="F27" s="220">
        <v>73</v>
      </c>
      <c r="G27" s="220">
        <v>0</v>
      </c>
      <c r="H27" s="213">
        <f t="shared" si="5"/>
        <v>1982</v>
      </c>
      <c r="I27" s="213">
        <v>0</v>
      </c>
      <c r="J27" s="213">
        <v>0</v>
      </c>
      <c r="K27" s="213">
        <v>0</v>
      </c>
      <c r="L27" s="213">
        <f t="shared" si="3"/>
        <v>0</v>
      </c>
      <c r="M27" s="213">
        <f t="shared" si="4"/>
        <v>1982</v>
      </c>
    </row>
    <row r="28" spans="1:13" ht="12.75" customHeight="1" x14ac:dyDescent="0.25">
      <c r="A28" s="221">
        <v>21</v>
      </c>
      <c r="B28" s="222" t="s">
        <v>163</v>
      </c>
      <c r="C28" s="203" t="s">
        <v>459</v>
      </c>
      <c r="D28" s="220">
        <v>0</v>
      </c>
      <c r="E28" s="220">
        <v>1683</v>
      </c>
      <c r="F28" s="220">
        <v>34</v>
      </c>
      <c r="G28" s="220">
        <v>0</v>
      </c>
      <c r="H28" s="213">
        <f t="shared" si="5"/>
        <v>1717</v>
      </c>
      <c r="I28" s="213">
        <v>0</v>
      </c>
      <c r="J28" s="213">
        <v>0</v>
      </c>
      <c r="K28" s="213">
        <v>0</v>
      </c>
      <c r="L28" s="213">
        <f t="shared" si="3"/>
        <v>0</v>
      </c>
      <c r="M28" s="213">
        <f t="shared" si="4"/>
        <v>1717</v>
      </c>
    </row>
    <row r="29" spans="1:13" ht="12.75" customHeight="1" x14ac:dyDescent="0.25">
      <c r="A29" s="221">
        <v>22</v>
      </c>
      <c r="B29" s="222" t="s">
        <v>165</v>
      </c>
      <c r="C29" s="203" t="s">
        <v>166</v>
      </c>
      <c r="D29" s="220"/>
      <c r="E29" s="220">
        <v>2798</v>
      </c>
      <c r="F29" s="220">
        <v>41</v>
      </c>
      <c r="G29" s="220">
        <v>272</v>
      </c>
      <c r="H29" s="213">
        <f t="shared" si="5"/>
        <v>3111</v>
      </c>
      <c r="I29" s="213">
        <v>0</v>
      </c>
      <c r="J29" s="213">
        <v>0</v>
      </c>
      <c r="K29" s="213">
        <v>0</v>
      </c>
      <c r="L29" s="213">
        <f t="shared" si="3"/>
        <v>0</v>
      </c>
      <c r="M29" s="213">
        <f t="shared" si="4"/>
        <v>3111</v>
      </c>
    </row>
    <row r="30" spans="1:13" ht="12.75" customHeight="1" x14ac:dyDescent="0.25">
      <c r="A30" s="221">
        <v>23</v>
      </c>
      <c r="B30" s="222" t="s">
        <v>169</v>
      </c>
      <c r="C30" s="203" t="s">
        <v>170</v>
      </c>
      <c r="D30" s="220">
        <v>5515</v>
      </c>
      <c r="E30" s="220">
        <v>10145</v>
      </c>
      <c r="F30" s="220">
        <v>271</v>
      </c>
      <c r="G30" s="220">
        <v>1560</v>
      </c>
      <c r="H30" s="213">
        <f t="shared" si="5"/>
        <v>17491</v>
      </c>
      <c r="I30" s="213">
        <v>0</v>
      </c>
      <c r="J30" s="213">
        <v>0</v>
      </c>
      <c r="K30" s="213">
        <v>0</v>
      </c>
      <c r="L30" s="213">
        <f t="shared" si="3"/>
        <v>0</v>
      </c>
      <c r="M30" s="213">
        <f t="shared" si="4"/>
        <v>17491</v>
      </c>
    </row>
    <row r="31" spans="1:13" x14ac:dyDescent="0.25">
      <c r="A31" s="221">
        <v>24</v>
      </c>
      <c r="B31" s="222" t="s">
        <v>171</v>
      </c>
      <c r="C31" s="203" t="s">
        <v>668</v>
      </c>
      <c r="D31" s="220"/>
      <c r="E31" s="220">
        <v>4566</v>
      </c>
      <c r="F31" s="220">
        <v>29</v>
      </c>
      <c r="G31" s="220">
        <v>216</v>
      </c>
      <c r="H31" s="213">
        <f t="shared" si="5"/>
        <v>4811</v>
      </c>
      <c r="I31" s="213">
        <v>1779</v>
      </c>
      <c r="J31" s="213">
        <v>0</v>
      </c>
      <c r="K31" s="213">
        <v>0</v>
      </c>
      <c r="L31" s="213">
        <f t="shared" si="3"/>
        <v>1779</v>
      </c>
      <c r="M31" s="213">
        <f t="shared" si="4"/>
        <v>6590</v>
      </c>
    </row>
    <row r="32" spans="1:13" ht="12.75" customHeight="1" x14ac:dyDescent="0.25">
      <c r="A32" s="221">
        <v>25</v>
      </c>
      <c r="B32" s="222" t="s">
        <v>173</v>
      </c>
      <c r="C32" s="203" t="s">
        <v>669</v>
      </c>
      <c r="D32" s="220"/>
      <c r="E32" s="220">
        <v>634</v>
      </c>
      <c r="F32" s="220">
        <v>17</v>
      </c>
      <c r="G32" s="220">
        <v>126</v>
      </c>
      <c r="H32" s="213">
        <f t="shared" si="5"/>
        <v>777</v>
      </c>
      <c r="I32" s="213">
        <v>0</v>
      </c>
      <c r="J32" s="213">
        <v>0</v>
      </c>
      <c r="K32" s="213">
        <v>0</v>
      </c>
      <c r="L32" s="213">
        <f t="shared" si="3"/>
        <v>0</v>
      </c>
      <c r="M32" s="213">
        <f t="shared" si="4"/>
        <v>777</v>
      </c>
    </row>
    <row r="33" spans="1:13" ht="12.75" customHeight="1" x14ac:dyDescent="0.25">
      <c r="A33" s="221">
        <v>26</v>
      </c>
      <c r="B33" s="118" t="s">
        <v>178</v>
      </c>
      <c r="C33" s="203" t="s">
        <v>670</v>
      </c>
      <c r="D33" s="220"/>
      <c r="E33" s="220">
        <v>697</v>
      </c>
      <c r="F33" s="220">
        <v>0</v>
      </c>
      <c r="G33" s="220">
        <v>102</v>
      </c>
      <c r="H33" s="213">
        <f t="shared" si="5"/>
        <v>799</v>
      </c>
      <c r="I33" s="213">
        <v>111</v>
      </c>
      <c r="J33" s="213">
        <v>2</v>
      </c>
      <c r="K33" s="213">
        <v>0</v>
      </c>
      <c r="L33" s="213">
        <f t="shared" si="3"/>
        <v>113</v>
      </c>
      <c r="M33" s="213">
        <f t="shared" si="4"/>
        <v>912</v>
      </c>
    </row>
    <row r="34" spans="1:13" ht="12.75" customHeight="1" x14ac:dyDescent="0.25">
      <c r="A34" s="221">
        <v>27</v>
      </c>
      <c r="B34" s="222" t="s">
        <v>185</v>
      </c>
      <c r="C34" s="203" t="s">
        <v>671</v>
      </c>
      <c r="D34" s="220"/>
      <c r="E34" s="220">
        <v>3584</v>
      </c>
      <c r="F34" s="220">
        <v>112</v>
      </c>
      <c r="G34" s="220">
        <v>0</v>
      </c>
      <c r="H34" s="213">
        <f t="shared" si="5"/>
        <v>3696</v>
      </c>
      <c r="I34" s="213">
        <v>0</v>
      </c>
      <c r="J34" s="213">
        <v>0</v>
      </c>
      <c r="K34" s="213">
        <v>0</v>
      </c>
      <c r="L34" s="213">
        <f t="shared" si="3"/>
        <v>0</v>
      </c>
      <c r="M34" s="213">
        <f t="shared" si="4"/>
        <v>3696</v>
      </c>
    </row>
    <row r="35" spans="1:13" ht="12.75" customHeight="1" x14ac:dyDescent="0.25">
      <c r="A35" s="221">
        <v>28</v>
      </c>
      <c r="B35" s="222" t="s">
        <v>191</v>
      </c>
      <c r="C35" s="203" t="s">
        <v>192</v>
      </c>
      <c r="D35" s="220"/>
      <c r="E35" s="220">
        <v>598</v>
      </c>
      <c r="F35" s="220">
        <v>0</v>
      </c>
      <c r="G35" s="220">
        <v>0</v>
      </c>
      <c r="H35" s="213">
        <f t="shared" si="5"/>
        <v>598</v>
      </c>
      <c r="I35" s="213">
        <v>0</v>
      </c>
      <c r="J35" s="213">
        <v>0</v>
      </c>
      <c r="K35" s="213">
        <v>0</v>
      </c>
      <c r="L35" s="213">
        <f t="shared" si="3"/>
        <v>0</v>
      </c>
      <c r="M35" s="213">
        <f t="shared" si="4"/>
        <v>598</v>
      </c>
    </row>
    <row r="36" spans="1:13" ht="12.75" customHeight="1" x14ac:dyDescent="0.25">
      <c r="A36" s="221">
        <v>29</v>
      </c>
      <c r="B36" s="222" t="s">
        <v>193</v>
      </c>
      <c r="C36" s="203" t="s">
        <v>194</v>
      </c>
      <c r="D36" s="220"/>
      <c r="E36" s="220">
        <v>951</v>
      </c>
      <c r="F36" s="220">
        <v>0</v>
      </c>
      <c r="G36" s="220">
        <v>0</v>
      </c>
      <c r="H36" s="213">
        <f t="shared" si="5"/>
        <v>951</v>
      </c>
      <c r="I36" s="213">
        <v>0</v>
      </c>
      <c r="J36" s="213">
        <v>0</v>
      </c>
      <c r="K36" s="213">
        <v>0</v>
      </c>
      <c r="L36" s="213">
        <f t="shared" si="3"/>
        <v>0</v>
      </c>
      <c r="M36" s="213">
        <f t="shared" si="4"/>
        <v>951</v>
      </c>
    </row>
    <row r="37" spans="1:13" ht="12.75" customHeight="1" x14ac:dyDescent="0.25">
      <c r="A37" s="221">
        <v>30</v>
      </c>
      <c r="B37" s="222" t="s">
        <v>195</v>
      </c>
      <c r="C37" s="203" t="s">
        <v>196</v>
      </c>
      <c r="D37" s="220"/>
      <c r="E37" s="220">
        <v>672</v>
      </c>
      <c r="F37" s="220">
        <v>22</v>
      </c>
      <c r="G37" s="220">
        <v>164</v>
      </c>
      <c r="H37" s="213">
        <f t="shared" si="5"/>
        <v>858</v>
      </c>
      <c r="I37" s="213">
        <v>0</v>
      </c>
      <c r="J37" s="213">
        <v>0</v>
      </c>
      <c r="K37" s="213">
        <v>0</v>
      </c>
      <c r="L37" s="213">
        <f t="shared" si="3"/>
        <v>0</v>
      </c>
      <c r="M37" s="213">
        <f t="shared" si="4"/>
        <v>858</v>
      </c>
    </row>
    <row r="38" spans="1:13" ht="12.75" customHeight="1" x14ac:dyDescent="0.25">
      <c r="A38" s="221">
        <v>31</v>
      </c>
      <c r="B38" s="222" t="s">
        <v>207</v>
      </c>
      <c r="C38" s="203" t="s">
        <v>208</v>
      </c>
      <c r="D38" s="220"/>
      <c r="E38" s="220">
        <v>1661</v>
      </c>
      <c r="F38" s="220">
        <v>74</v>
      </c>
      <c r="G38" s="220">
        <v>682</v>
      </c>
      <c r="H38" s="213">
        <f>D38+E38+F38+G38</f>
        <v>2417</v>
      </c>
      <c r="I38" s="213">
        <v>0</v>
      </c>
      <c r="J38" s="213">
        <v>0</v>
      </c>
      <c r="K38" s="213">
        <v>0</v>
      </c>
      <c r="L38" s="213">
        <f t="shared" si="3"/>
        <v>0</v>
      </c>
      <c r="M38" s="213">
        <f t="shared" si="4"/>
        <v>2417</v>
      </c>
    </row>
    <row r="39" spans="1:13" ht="12.75" customHeight="1" x14ac:dyDescent="0.25">
      <c r="A39" s="221">
        <v>32</v>
      </c>
      <c r="B39" s="222" t="s">
        <v>213</v>
      </c>
      <c r="C39" s="203" t="s">
        <v>214</v>
      </c>
      <c r="D39" s="220"/>
      <c r="E39" s="220">
        <v>1182</v>
      </c>
      <c r="F39" s="220">
        <v>41</v>
      </c>
      <c r="G39" s="220">
        <v>0</v>
      </c>
      <c r="H39" s="213">
        <f>D39+E39+F39+G39</f>
        <v>1223</v>
      </c>
      <c r="I39" s="213">
        <v>0</v>
      </c>
      <c r="J39" s="213">
        <v>0</v>
      </c>
      <c r="K39" s="213">
        <v>0</v>
      </c>
      <c r="L39" s="213">
        <f t="shared" si="3"/>
        <v>0</v>
      </c>
      <c r="M39" s="213">
        <f t="shared" si="4"/>
        <v>1223</v>
      </c>
    </row>
    <row r="40" spans="1:13" ht="12.75" customHeight="1" x14ac:dyDescent="0.25">
      <c r="A40" s="221">
        <v>33</v>
      </c>
      <c r="B40" s="222" t="s">
        <v>229</v>
      </c>
      <c r="C40" s="203" t="s">
        <v>230</v>
      </c>
      <c r="D40" s="220"/>
      <c r="E40" s="220">
        <v>0</v>
      </c>
      <c r="F40" s="220">
        <v>0</v>
      </c>
      <c r="G40" s="220">
        <v>0</v>
      </c>
      <c r="H40" s="220">
        <v>0</v>
      </c>
      <c r="I40" s="213">
        <v>958</v>
      </c>
      <c r="J40" s="213">
        <v>0</v>
      </c>
      <c r="K40" s="213">
        <v>0</v>
      </c>
      <c r="L40" s="213">
        <f t="shared" si="3"/>
        <v>958</v>
      </c>
      <c r="M40" s="213">
        <f t="shared" si="4"/>
        <v>958</v>
      </c>
    </row>
    <row r="41" spans="1:13" ht="12.75" customHeight="1" x14ac:dyDescent="0.25">
      <c r="A41" s="221">
        <v>34</v>
      </c>
      <c r="B41" s="222" t="s">
        <v>233</v>
      </c>
      <c r="C41" s="203" t="s">
        <v>672</v>
      </c>
      <c r="D41" s="220"/>
      <c r="E41" s="220">
        <v>6999</v>
      </c>
      <c r="F41" s="220">
        <v>108</v>
      </c>
      <c r="G41" s="220">
        <v>1511</v>
      </c>
      <c r="H41" s="213">
        <f>D41+E41+F41+G41</f>
        <v>8618</v>
      </c>
      <c r="I41" s="213">
        <v>11628</v>
      </c>
      <c r="J41" s="213">
        <v>239</v>
      </c>
      <c r="K41" s="213">
        <v>452</v>
      </c>
      <c r="L41" s="213">
        <f t="shared" si="3"/>
        <v>12319</v>
      </c>
      <c r="M41" s="213">
        <f t="shared" si="4"/>
        <v>20937</v>
      </c>
    </row>
    <row r="42" spans="1:13" ht="12.75" customHeight="1" x14ac:dyDescent="0.25">
      <c r="A42" s="221">
        <v>35</v>
      </c>
      <c r="B42" s="222" t="s">
        <v>237</v>
      </c>
      <c r="C42" s="203" t="s">
        <v>673</v>
      </c>
      <c r="D42" s="220"/>
      <c r="E42" s="220">
        <v>0</v>
      </c>
      <c r="F42" s="220">
        <v>0</v>
      </c>
      <c r="G42" s="220">
        <v>0</v>
      </c>
      <c r="H42" s="220">
        <v>0</v>
      </c>
      <c r="I42" s="213">
        <v>2031</v>
      </c>
      <c r="J42" s="213">
        <v>125</v>
      </c>
      <c r="K42" s="213">
        <v>0</v>
      </c>
      <c r="L42" s="213">
        <f t="shared" si="3"/>
        <v>2156</v>
      </c>
      <c r="M42" s="213">
        <f t="shared" si="4"/>
        <v>2156</v>
      </c>
    </row>
    <row r="43" spans="1:13" ht="12.75" customHeight="1" x14ac:dyDescent="0.25">
      <c r="A43" s="221">
        <v>36</v>
      </c>
      <c r="B43" s="222" t="s">
        <v>244</v>
      </c>
      <c r="C43" s="203" t="s">
        <v>518</v>
      </c>
      <c r="D43" s="220"/>
      <c r="E43" s="220">
        <v>1354</v>
      </c>
      <c r="F43" s="220">
        <v>47</v>
      </c>
      <c r="G43" s="220">
        <v>0</v>
      </c>
      <c r="H43" s="213">
        <f t="shared" ref="H43:H51" si="6">D43+E43+F43+G43</f>
        <v>1401</v>
      </c>
      <c r="I43" s="213">
        <v>1000</v>
      </c>
      <c r="J43" s="213">
        <v>29</v>
      </c>
      <c r="K43" s="213">
        <v>0</v>
      </c>
      <c r="L43" s="213">
        <f t="shared" si="3"/>
        <v>1029</v>
      </c>
      <c r="M43" s="213">
        <f t="shared" si="4"/>
        <v>2430</v>
      </c>
    </row>
    <row r="44" spans="1:13" ht="12.75" customHeight="1" x14ac:dyDescent="0.25">
      <c r="A44" s="221">
        <v>37</v>
      </c>
      <c r="B44" s="117" t="s">
        <v>258</v>
      </c>
      <c r="C44" s="203" t="s">
        <v>259</v>
      </c>
      <c r="D44" s="220">
        <v>6823</v>
      </c>
      <c r="E44" s="220">
        <v>11000</v>
      </c>
      <c r="F44" s="220">
        <v>69</v>
      </c>
      <c r="G44" s="220">
        <v>4050</v>
      </c>
      <c r="H44" s="213">
        <f t="shared" si="6"/>
        <v>21942</v>
      </c>
      <c r="I44" s="213">
        <v>6000</v>
      </c>
      <c r="J44" s="213">
        <v>0</v>
      </c>
      <c r="K44" s="213">
        <v>1161</v>
      </c>
      <c r="L44" s="213">
        <f t="shared" si="3"/>
        <v>7161</v>
      </c>
      <c r="M44" s="213">
        <f t="shared" si="4"/>
        <v>29103</v>
      </c>
    </row>
    <row r="45" spans="1:13" ht="12.75" customHeight="1" x14ac:dyDescent="0.25">
      <c r="A45" s="221">
        <v>38</v>
      </c>
      <c r="B45" s="118" t="s">
        <v>260</v>
      </c>
      <c r="C45" s="203" t="s">
        <v>398</v>
      </c>
      <c r="D45" s="220"/>
      <c r="E45" s="220">
        <v>23000</v>
      </c>
      <c r="F45" s="220">
        <v>0</v>
      </c>
      <c r="G45" s="220">
        <v>9050</v>
      </c>
      <c r="H45" s="213">
        <f t="shared" si="6"/>
        <v>32050</v>
      </c>
      <c r="I45" s="213">
        <v>12090</v>
      </c>
      <c r="J45" s="213">
        <v>0</v>
      </c>
      <c r="K45" s="213">
        <v>2005</v>
      </c>
      <c r="L45" s="213">
        <f t="shared" si="3"/>
        <v>14095</v>
      </c>
      <c r="M45" s="213">
        <f t="shared" si="4"/>
        <v>46145</v>
      </c>
    </row>
    <row r="46" spans="1:13" ht="13.5" customHeight="1" x14ac:dyDescent="0.25">
      <c r="A46" s="221">
        <v>39</v>
      </c>
      <c r="B46" s="118" t="s">
        <v>262</v>
      </c>
      <c r="C46" s="203" t="s">
        <v>263</v>
      </c>
      <c r="D46" s="220"/>
      <c r="E46" s="220">
        <v>500</v>
      </c>
      <c r="F46" s="220">
        <v>0</v>
      </c>
      <c r="G46" s="220">
        <v>2100</v>
      </c>
      <c r="H46" s="213">
        <f t="shared" si="6"/>
        <v>2600</v>
      </c>
      <c r="I46" s="213">
        <v>0</v>
      </c>
      <c r="J46" s="213">
        <v>0</v>
      </c>
      <c r="K46" s="213">
        <v>0</v>
      </c>
      <c r="L46" s="213">
        <f t="shared" si="3"/>
        <v>0</v>
      </c>
      <c r="M46" s="213">
        <f t="shared" si="4"/>
        <v>2600</v>
      </c>
    </row>
    <row r="47" spans="1:13" ht="12.75" customHeight="1" x14ac:dyDescent="0.25">
      <c r="A47" s="221">
        <v>40</v>
      </c>
      <c r="B47" s="222" t="s">
        <v>264</v>
      </c>
      <c r="C47" s="203" t="s">
        <v>265</v>
      </c>
      <c r="D47" s="220"/>
      <c r="E47" s="220">
        <v>3690</v>
      </c>
      <c r="F47" s="220">
        <v>0</v>
      </c>
      <c r="G47" s="220">
        <v>0</v>
      </c>
      <c r="H47" s="213">
        <f t="shared" si="6"/>
        <v>3690</v>
      </c>
      <c r="I47" s="213">
        <v>2537</v>
      </c>
      <c r="J47" s="213">
        <v>0</v>
      </c>
      <c r="K47" s="213">
        <v>0</v>
      </c>
      <c r="L47" s="213">
        <f t="shared" si="3"/>
        <v>2537</v>
      </c>
      <c r="M47" s="213">
        <f t="shared" si="4"/>
        <v>6227</v>
      </c>
    </row>
    <row r="48" spans="1:13" ht="12.75" customHeight="1" x14ac:dyDescent="0.25">
      <c r="A48" s="221">
        <v>41</v>
      </c>
      <c r="B48" s="222" t="s">
        <v>268</v>
      </c>
      <c r="C48" s="203" t="s">
        <v>269</v>
      </c>
      <c r="D48" s="220"/>
      <c r="E48" s="220">
        <v>0</v>
      </c>
      <c r="F48" s="220">
        <v>0</v>
      </c>
      <c r="G48" s="220">
        <v>0</v>
      </c>
      <c r="H48" s="213">
        <f t="shared" si="6"/>
        <v>0</v>
      </c>
      <c r="I48" s="213">
        <v>3115</v>
      </c>
      <c r="J48" s="213">
        <v>0</v>
      </c>
      <c r="K48" s="213">
        <v>85</v>
      </c>
      <c r="L48" s="213">
        <f t="shared" si="3"/>
        <v>3200</v>
      </c>
      <c r="M48" s="213">
        <f t="shared" si="4"/>
        <v>3200</v>
      </c>
    </row>
    <row r="49" spans="1:13" ht="12.75" customHeight="1" x14ac:dyDescent="0.25">
      <c r="A49" s="221">
        <v>42</v>
      </c>
      <c r="B49" s="118" t="s">
        <v>274</v>
      </c>
      <c r="C49" s="203" t="s">
        <v>275</v>
      </c>
      <c r="D49" s="220"/>
      <c r="E49" s="220">
        <v>2407</v>
      </c>
      <c r="F49" s="220">
        <v>160</v>
      </c>
      <c r="G49" s="220">
        <v>500</v>
      </c>
      <c r="H49" s="213">
        <f t="shared" si="6"/>
        <v>3067</v>
      </c>
      <c r="I49" s="213">
        <v>0</v>
      </c>
      <c r="J49" s="213">
        <v>0</v>
      </c>
      <c r="K49" s="213">
        <v>0</v>
      </c>
      <c r="L49" s="213">
        <f t="shared" si="3"/>
        <v>0</v>
      </c>
      <c r="M49" s="213">
        <f t="shared" si="4"/>
        <v>3067</v>
      </c>
    </row>
    <row r="50" spans="1:13" ht="12.75" customHeight="1" x14ac:dyDescent="0.25">
      <c r="A50" s="221">
        <v>43</v>
      </c>
      <c r="B50" s="118" t="s">
        <v>276</v>
      </c>
      <c r="C50" s="203" t="s">
        <v>277</v>
      </c>
      <c r="D50" s="220"/>
      <c r="E50" s="220">
        <v>6186</v>
      </c>
      <c r="F50" s="220">
        <v>267</v>
      </c>
      <c r="G50" s="220">
        <v>2448</v>
      </c>
      <c r="H50" s="213">
        <f t="shared" si="6"/>
        <v>8901</v>
      </c>
      <c r="I50" s="213">
        <v>6352</v>
      </c>
      <c r="J50" s="213">
        <v>724</v>
      </c>
      <c r="K50" s="213">
        <v>527</v>
      </c>
      <c r="L50" s="213">
        <f t="shared" si="3"/>
        <v>7603</v>
      </c>
      <c r="M50" s="213">
        <f t="shared" si="4"/>
        <v>16504</v>
      </c>
    </row>
    <row r="51" spans="1:13" ht="12.75" customHeight="1" x14ac:dyDescent="0.25">
      <c r="A51" s="221">
        <v>44</v>
      </c>
      <c r="B51" s="222" t="s">
        <v>278</v>
      </c>
      <c r="C51" s="203" t="s">
        <v>674</v>
      </c>
      <c r="D51" s="220"/>
      <c r="E51" s="220">
        <v>3037</v>
      </c>
      <c r="F51" s="220">
        <v>103</v>
      </c>
      <c r="G51" s="220">
        <v>758</v>
      </c>
      <c r="H51" s="213">
        <f t="shared" si="6"/>
        <v>3898</v>
      </c>
      <c r="I51" s="213">
        <v>2011</v>
      </c>
      <c r="J51" s="213">
        <v>34</v>
      </c>
      <c r="K51" s="213">
        <v>0</v>
      </c>
      <c r="L51" s="213">
        <f t="shared" si="3"/>
        <v>2045</v>
      </c>
      <c r="M51" s="213">
        <f t="shared" si="4"/>
        <v>5943</v>
      </c>
    </row>
    <row r="52" spans="1:13" ht="12.75" customHeight="1" x14ac:dyDescent="0.25">
      <c r="A52" s="221">
        <v>45</v>
      </c>
      <c r="B52" s="222" t="s">
        <v>280</v>
      </c>
      <c r="C52" s="203" t="s">
        <v>469</v>
      </c>
      <c r="D52" s="220">
        <v>1650</v>
      </c>
      <c r="E52" s="220">
        <v>0</v>
      </c>
      <c r="F52" s="220">
        <v>0</v>
      </c>
      <c r="G52" s="220">
        <v>0</v>
      </c>
      <c r="H52" s="213">
        <f t="shared" si="5"/>
        <v>1650</v>
      </c>
      <c r="I52" s="213">
        <v>0</v>
      </c>
      <c r="J52" s="213">
        <v>0</v>
      </c>
      <c r="K52" s="213">
        <v>0</v>
      </c>
      <c r="L52" s="213">
        <f t="shared" si="3"/>
        <v>0</v>
      </c>
      <c r="M52" s="213">
        <f t="shared" si="4"/>
        <v>1650</v>
      </c>
    </row>
    <row r="53" spans="1:13" s="228" customFormat="1" x14ac:dyDescent="0.25">
      <c r="A53" s="224"/>
      <c r="B53" s="225"/>
      <c r="C53" s="226"/>
      <c r="D53" s="227"/>
      <c r="E53" s="227"/>
      <c r="F53" s="227"/>
      <c r="G53" s="227"/>
      <c r="H53" s="227"/>
      <c r="I53" s="227"/>
      <c r="J53" s="227"/>
      <c r="K53" s="227"/>
      <c r="L53" s="227"/>
      <c r="M53" s="227"/>
    </row>
    <row r="54" spans="1:13" s="232" customFormat="1" x14ac:dyDescent="0.25">
      <c r="A54" s="229"/>
      <c r="B54" s="230"/>
      <c r="C54" s="231"/>
      <c r="D54" s="227"/>
      <c r="E54" s="227"/>
      <c r="F54" s="227"/>
      <c r="G54" s="227"/>
      <c r="H54" s="227"/>
      <c r="I54" s="227"/>
      <c r="J54" s="227"/>
      <c r="K54" s="227"/>
      <c r="L54" s="227"/>
      <c r="M54" s="227"/>
    </row>
    <row r="58" spans="1:13" s="235" customFormat="1" x14ac:dyDescent="0.25">
      <c r="A58" s="233"/>
      <c r="B58" s="234"/>
      <c r="C58" s="204"/>
      <c r="D58" s="236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G99"/>
  <sheetViews>
    <sheetView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14" sqref="F14"/>
    </sheetView>
  </sheetViews>
  <sheetFormatPr defaultRowHeight="12.75" x14ac:dyDescent="0.25"/>
  <cols>
    <col min="1" max="1" width="4.5703125" style="235" customWidth="1"/>
    <col min="2" max="2" width="9" style="235" customWidth="1"/>
    <col min="3" max="3" width="37" style="237" customWidth="1"/>
    <col min="4" max="4" width="15.140625" style="235" customWidth="1"/>
    <col min="5" max="5" width="16.28515625" style="235" customWidth="1"/>
    <col min="6" max="6" width="19.140625" style="235" customWidth="1"/>
    <col min="7" max="7" width="15.42578125" style="235" customWidth="1"/>
    <col min="8" max="16384" width="9.140625" style="235"/>
  </cols>
  <sheetData>
    <row r="1" spans="1:7" ht="43.5" customHeight="1" x14ac:dyDescent="0.25">
      <c r="A1" s="1271" t="s">
        <v>675</v>
      </c>
      <c r="B1" s="1271"/>
      <c r="C1" s="1272"/>
      <c r="D1" s="1272"/>
      <c r="E1" s="1272"/>
      <c r="F1" s="1272"/>
      <c r="G1" s="1272"/>
    </row>
    <row r="2" spans="1:7" ht="17.25" customHeight="1" x14ac:dyDescent="0.25"/>
    <row r="3" spans="1:7" ht="15.75" customHeight="1" x14ac:dyDescent="0.25">
      <c r="A3" s="1270" t="s">
        <v>0</v>
      </c>
      <c r="B3" s="1270" t="s">
        <v>302</v>
      </c>
      <c r="C3" s="1273" t="s">
        <v>472</v>
      </c>
      <c r="D3" s="240" t="s">
        <v>676</v>
      </c>
      <c r="E3" s="240"/>
      <c r="F3" s="315"/>
      <c r="G3" s="315"/>
    </row>
    <row r="4" spans="1:7" ht="45.75" customHeight="1" x14ac:dyDescent="0.25">
      <c r="A4" s="1270"/>
      <c r="B4" s="1270"/>
      <c r="C4" s="1273"/>
      <c r="D4" s="214" t="s">
        <v>677</v>
      </c>
      <c r="E4" s="214" t="s">
        <v>678</v>
      </c>
      <c r="F4" s="214" t="s">
        <v>679</v>
      </c>
      <c r="G4" s="213" t="s">
        <v>6</v>
      </c>
    </row>
    <row r="5" spans="1:7" ht="11.25" customHeight="1" x14ac:dyDescent="0.25">
      <c r="A5" s="214"/>
      <c r="B5" s="316"/>
      <c r="C5" s="216" t="s">
        <v>6</v>
      </c>
      <c r="D5" s="217">
        <f>D7+D6</f>
        <v>194650</v>
      </c>
      <c r="E5" s="217">
        <f t="shared" ref="E5:F5" si="0">E7+E6</f>
        <v>95555</v>
      </c>
      <c r="F5" s="217">
        <f t="shared" si="0"/>
        <v>63704</v>
      </c>
      <c r="G5" s="217">
        <f>G7+G6</f>
        <v>353909</v>
      </c>
    </row>
    <row r="6" spans="1:7" ht="11.25" customHeight="1" x14ac:dyDescent="0.25">
      <c r="A6" s="214"/>
      <c r="B6" s="316"/>
      <c r="C6" s="238" t="s">
        <v>14</v>
      </c>
      <c r="D6" s="214">
        <v>0</v>
      </c>
      <c r="E6" s="214">
        <v>0</v>
      </c>
      <c r="F6" s="214">
        <v>0</v>
      </c>
      <c r="G6" s="213">
        <v>0</v>
      </c>
    </row>
    <row r="7" spans="1:7" ht="11.25" customHeight="1" x14ac:dyDescent="0.25">
      <c r="A7" s="214"/>
      <c r="B7" s="316"/>
      <c r="C7" s="238" t="s">
        <v>15</v>
      </c>
      <c r="D7" s="217">
        <f>SUM(D8:D90)</f>
        <v>194650</v>
      </c>
      <c r="E7" s="217">
        <f>SUM(E8:E90)</f>
        <v>95555</v>
      </c>
      <c r="F7" s="217">
        <f>SUM(F8:F90)</f>
        <v>63704</v>
      </c>
      <c r="G7" s="218">
        <f>SUM(G8:G90)</f>
        <v>353909</v>
      </c>
    </row>
    <row r="8" spans="1:7" ht="11.25" customHeight="1" x14ac:dyDescent="0.25">
      <c r="A8" s="214">
        <v>1</v>
      </c>
      <c r="B8" s="212" t="s">
        <v>16</v>
      </c>
      <c r="C8" s="239" t="s">
        <v>17</v>
      </c>
      <c r="D8" s="214">
        <v>882</v>
      </c>
      <c r="E8" s="800">
        <v>437</v>
      </c>
      <c r="F8" s="800">
        <v>215</v>
      </c>
      <c r="G8" s="213">
        <f>SUM(D8:F8)</f>
        <v>1534</v>
      </c>
    </row>
    <row r="9" spans="1:7" ht="11.25" customHeight="1" x14ac:dyDescent="0.25">
      <c r="A9" s="214">
        <v>2</v>
      </c>
      <c r="B9" s="212" t="s">
        <v>18</v>
      </c>
      <c r="C9" s="239" t="s">
        <v>19</v>
      </c>
      <c r="D9" s="800">
        <v>883</v>
      </c>
      <c r="E9" s="800">
        <v>455</v>
      </c>
      <c r="F9" s="800">
        <v>304</v>
      </c>
      <c r="G9" s="213">
        <f t="shared" ref="G9:G72" si="1">SUM(D9:F9)</f>
        <v>1642</v>
      </c>
    </row>
    <row r="10" spans="1:7" ht="11.25" customHeight="1" x14ac:dyDescent="0.25">
      <c r="A10" s="214">
        <v>3</v>
      </c>
      <c r="B10" s="212" t="s">
        <v>20</v>
      </c>
      <c r="C10" s="239" t="s">
        <v>21</v>
      </c>
      <c r="D10" s="800">
        <v>2734</v>
      </c>
      <c r="E10" s="800">
        <v>1319</v>
      </c>
      <c r="F10" s="800">
        <v>1219</v>
      </c>
      <c r="G10" s="213">
        <f t="shared" si="1"/>
        <v>5272</v>
      </c>
    </row>
    <row r="11" spans="1:7" ht="11.25" customHeight="1" x14ac:dyDescent="0.25">
      <c r="A11" s="214">
        <v>4</v>
      </c>
      <c r="B11" s="212" t="s">
        <v>22</v>
      </c>
      <c r="C11" s="239" t="s">
        <v>23</v>
      </c>
      <c r="D11" s="800">
        <v>747</v>
      </c>
      <c r="E11" s="800">
        <v>506</v>
      </c>
      <c r="F11" s="800">
        <v>0</v>
      </c>
      <c r="G11" s="213">
        <f t="shared" si="1"/>
        <v>1253</v>
      </c>
    </row>
    <row r="12" spans="1:7" ht="11.25" customHeight="1" x14ac:dyDescent="0.25">
      <c r="A12" s="214">
        <v>5</v>
      </c>
      <c r="B12" s="212" t="s">
        <v>24</v>
      </c>
      <c r="C12" s="239" t="s">
        <v>25</v>
      </c>
      <c r="D12" s="800">
        <v>1048</v>
      </c>
      <c r="E12" s="800">
        <v>525</v>
      </c>
      <c r="F12" s="800">
        <v>351</v>
      </c>
      <c r="G12" s="213">
        <f t="shared" si="1"/>
        <v>1924</v>
      </c>
    </row>
    <row r="13" spans="1:7" ht="11.25" customHeight="1" x14ac:dyDescent="0.25">
      <c r="A13" s="567">
        <v>6</v>
      </c>
      <c r="B13" s="212" t="s">
        <v>26</v>
      </c>
      <c r="C13" s="239" t="s">
        <v>27</v>
      </c>
      <c r="D13" s="800">
        <v>2655</v>
      </c>
      <c r="E13" s="800">
        <v>1799</v>
      </c>
      <c r="F13" s="800">
        <v>1202</v>
      </c>
      <c r="G13" s="213">
        <f t="shared" si="1"/>
        <v>5656</v>
      </c>
    </row>
    <row r="14" spans="1:7" ht="11.25" customHeight="1" x14ac:dyDescent="0.25">
      <c r="A14" s="567">
        <v>7</v>
      </c>
      <c r="B14" s="566" t="s">
        <v>30</v>
      </c>
      <c r="C14" s="239" t="s">
        <v>31</v>
      </c>
      <c r="D14" s="800">
        <v>0</v>
      </c>
      <c r="E14" s="800">
        <v>494</v>
      </c>
      <c r="F14" s="800">
        <v>328</v>
      </c>
      <c r="G14" s="213">
        <f t="shared" si="1"/>
        <v>822</v>
      </c>
    </row>
    <row r="15" spans="1:7" ht="11.25" customHeight="1" x14ac:dyDescent="0.25">
      <c r="A15" s="567">
        <v>8</v>
      </c>
      <c r="B15" s="212" t="s">
        <v>32</v>
      </c>
      <c r="C15" s="239" t="s">
        <v>33</v>
      </c>
      <c r="D15" s="800">
        <v>733</v>
      </c>
      <c r="E15" s="800">
        <v>497</v>
      </c>
      <c r="F15" s="800">
        <v>332</v>
      </c>
      <c r="G15" s="213">
        <f t="shared" si="1"/>
        <v>1562</v>
      </c>
    </row>
    <row r="16" spans="1:7" ht="11.25" customHeight="1" x14ac:dyDescent="0.25">
      <c r="A16" s="567">
        <v>9</v>
      </c>
      <c r="B16" s="212" t="s">
        <v>34</v>
      </c>
      <c r="C16" s="239" t="s">
        <v>35</v>
      </c>
      <c r="D16" s="800">
        <v>965</v>
      </c>
      <c r="E16" s="800">
        <v>654</v>
      </c>
      <c r="F16" s="800">
        <v>437</v>
      </c>
      <c r="G16" s="213">
        <f t="shared" si="1"/>
        <v>2056</v>
      </c>
    </row>
    <row r="17" spans="1:7" ht="11.25" customHeight="1" x14ac:dyDescent="0.25">
      <c r="A17" s="567">
        <v>10</v>
      </c>
      <c r="B17" s="212" t="s">
        <v>36</v>
      </c>
      <c r="C17" s="239" t="s">
        <v>37</v>
      </c>
      <c r="D17" s="800">
        <v>1026</v>
      </c>
      <c r="E17" s="800">
        <v>508</v>
      </c>
      <c r="F17" s="800">
        <v>339</v>
      </c>
      <c r="G17" s="213">
        <f t="shared" si="1"/>
        <v>1873</v>
      </c>
    </row>
    <row r="18" spans="1:7" ht="11.25" customHeight="1" x14ac:dyDescent="0.25">
      <c r="A18" s="567">
        <v>11</v>
      </c>
      <c r="B18" s="212" t="s">
        <v>38</v>
      </c>
      <c r="C18" s="239" t="s">
        <v>39</v>
      </c>
      <c r="D18" s="800">
        <v>2009</v>
      </c>
      <c r="E18" s="800">
        <v>1007</v>
      </c>
      <c r="F18" s="800">
        <v>0</v>
      </c>
      <c r="G18" s="213">
        <f t="shared" si="1"/>
        <v>3016</v>
      </c>
    </row>
    <row r="19" spans="1:7" ht="11.25" customHeight="1" x14ac:dyDescent="0.25">
      <c r="A19" s="567">
        <v>12</v>
      </c>
      <c r="B19" s="223" t="s">
        <v>40</v>
      </c>
      <c r="C19" s="240" t="s">
        <v>41</v>
      </c>
      <c r="D19" s="800">
        <v>3488</v>
      </c>
      <c r="E19" s="800">
        <v>1870</v>
      </c>
      <c r="F19" s="800">
        <v>1924</v>
      </c>
      <c r="G19" s="213">
        <f t="shared" si="1"/>
        <v>7282</v>
      </c>
    </row>
    <row r="20" spans="1:7" ht="11.25" customHeight="1" x14ac:dyDescent="0.25">
      <c r="A20" s="567">
        <v>13</v>
      </c>
      <c r="B20" s="316" t="s">
        <v>44</v>
      </c>
      <c r="C20" s="239" t="s">
        <v>45</v>
      </c>
      <c r="D20" s="800">
        <v>470</v>
      </c>
      <c r="E20" s="800">
        <v>0</v>
      </c>
      <c r="F20" s="800">
        <v>0</v>
      </c>
      <c r="G20" s="213">
        <f t="shared" si="1"/>
        <v>470</v>
      </c>
    </row>
    <row r="21" spans="1:7" ht="11.25" customHeight="1" x14ac:dyDescent="0.25">
      <c r="A21" s="567">
        <v>14</v>
      </c>
      <c r="B21" s="212" t="s">
        <v>48</v>
      </c>
      <c r="C21" s="239" t="s">
        <v>49</v>
      </c>
      <c r="D21" s="800">
        <v>2607</v>
      </c>
      <c r="E21" s="800">
        <v>1197</v>
      </c>
      <c r="F21" s="800">
        <v>799</v>
      </c>
      <c r="G21" s="213">
        <f t="shared" si="1"/>
        <v>4603</v>
      </c>
    </row>
    <row r="22" spans="1:7" ht="11.25" customHeight="1" x14ac:dyDescent="0.25">
      <c r="A22" s="567">
        <v>15</v>
      </c>
      <c r="B22" s="212" t="s">
        <v>50</v>
      </c>
      <c r="C22" s="239" t="s">
        <v>51</v>
      </c>
      <c r="D22" s="800">
        <v>7052</v>
      </c>
      <c r="E22" s="800">
        <v>3572</v>
      </c>
      <c r="F22" s="800">
        <v>2385</v>
      </c>
      <c r="G22" s="213">
        <f t="shared" si="1"/>
        <v>13009</v>
      </c>
    </row>
    <row r="23" spans="1:7" ht="11.25" customHeight="1" x14ac:dyDescent="0.25">
      <c r="A23" s="567">
        <v>16</v>
      </c>
      <c r="B23" s="212" t="s">
        <v>52</v>
      </c>
      <c r="C23" s="239" t="s">
        <v>53</v>
      </c>
      <c r="D23" s="800">
        <v>542</v>
      </c>
      <c r="E23" s="800">
        <v>0</v>
      </c>
      <c r="F23" s="800">
        <v>0</v>
      </c>
      <c r="G23" s="213">
        <f t="shared" si="1"/>
        <v>542</v>
      </c>
    </row>
    <row r="24" spans="1:7" ht="11.25" customHeight="1" x14ac:dyDescent="0.25">
      <c r="A24" s="567">
        <v>17</v>
      </c>
      <c r="B24" s="212" t="s">
        <v>56</v>
      </c>
      <c r="C24" s="239" t="s">
        <v>57</v>
      </c>
      <c r="D24" s="800">
        <v>3299</v>
      </c>
      <c r="E24" s="800">
        <v>1590</v>
      </c>
      <c r="F24" s="800">
        <v>1062</v>
      </c>
      <c r="G24" s="213">
        <f t="shared" si="1"/>
        <v>5951</v>
      </c>
    </row>
    <row r="25" spans="1:7" ht="11.25" customHeight="1" x14ac:dyDescent="0.25">
      <c r="A25" s="567">
        <v>18</v>
      </c>
      <c r="B25" s="212" t="s">
        <v>58</v>
      </c>
      <c r="C25" s="239" t="s">
        <v>59</v>
      </c>
      <c r="D25" s="800">
        <v>4180</v>
      </c>
      <c r="E25" s="800">
        <v>2277</v>
      </c>
      <c r="F25" s="800">
        <v>1521</v>
      </c>
      <c r="G25" s="213">
        <f t="shared" si="1"/>
        <v>7978</v>
      </c>
    </row>
    <row r="26" spans="1:7" ht="11.25" customHeight="1" x14ac:dyDescent="0.25">
      <c r="A26" s="567">
        <v>19</v>
      </c>
      <c r="B26" s="212" t="s">
        <v>60</v>
      </c>
      <c r="C26" s="239" t="s">
        <v>61</v>
      </c>
      <c r="D26" s="800">
        <v>475</v>
      </c>
      <c r="E26" s="800">
        <v>322</v>
      </c>
      <c r="F26" s="800">
        <v>215</v>
      </c>
      <c r="G26" s="213">
        <f t="shared" si="1"/>
        <v>1012</v>
      </c>
    </row>
    <row r="27" spans="1:7" ht="11.25" customHeight="1" x14ac:dyDescent="0.25">
      <c r="A27" s="567">
        <v>20</v>
      </c>
      <c r="B27" s="212" t="s">
        <v>66</v>
      </c>
      <c r="C27" s="239" t="s">
        <v>67</v>
      </c>
      <c r="D27" s="800">
        <v>8599</v>
      </c>
      <c r="E27" s="800">
        <v>6333</v>
      </c>
      <c r="F27" s="800">
        <v>4375</v>
      </c>
      <c r="G27" s="213">
        <f t="shared" si="1"/>
        <v>19307</v>
      </c>
    </row>
    <row r="28" spans="1:7" ht="11.25" customHeight="1" x14ac:dyDescent="0.25">
      <c r="A28" s="567">
        <v>21</v>
      </c>
      <c r="B28" s="212" t="s">
        <v>68</v>
      </c>
      <c r="C28" s="239" t="s">
        <v>69</v>
      </c>
      <c r="D28" s="800">
        <v>2504</v>
      </c>
      <c r="E28" s="800">
        <v>1362</v>
      </c>
      <c r="F28" s="800">
        <v>910</v>
      </c>
      <c r="G28" s="213">
        <f t="shared" si="1"/>
        <v>4776</v>
      </c>
    </row>
    <row r="29" spans="1:7" ht="11.25" customHeight="1" x14ac:dyDescent="0.25">
      <c r="A29" s="567">
        <v>22</v>
      </c>
      <c r="B29" s="212" t="s">
        <v>70</v>
      </c>
      <c r="C29" s="239" t="s">
        <v>71</v>
      </c>
      <c r="D29" s="800">
        <v>4971</v>
      </c>
      <c r="E29" s="800">
        <v>0</v>
      </c>
      <c r="F29" s="800">
        <v>0</v>
      </c>
      <c r="G29" s="213">
        <f t="shared" si="1"/>
        <v>4971</v>
      </c>
    </row>
    <row r="30" spans="1:7" ht="11.25" customHeight="1" x14ac:dyDescent="0.25">
      <c r="A30" s="567">
        <v>23</v>
      </c>
      <c r="B30" s="212" t="s">
        <v>75</v>
      </c>
      <c r="C30" s="239" t="s">
        <v>76</v>
      </c>
      <c r="D30" s="800">
        <v>385</v>
      </c>
      <c r="E30" s="800">
        <v>261</v>
      </c>
      <c r="F30" s="800">
        <v>174</v>
      </c>
      <c r="G30" s="213">
        <f t="shared" si="1"/>
        <v>820</v>
      </c>
    </row>
    <row r="31" spans="1:7" ht="11.25" customHeight="1" x14ac:dyDescent="0.25">
      <c r="A31" s="567">
        <v>24</v>
      </c>
      <c r="B31" s="212" t="s">
        <v>77</v>
      </c>
      <c r="C31" s="239" t="s">
        <v>78</v>
      </c>
      <c r="D31" s="800">
        <v>4246</v>
      </c>
      <c r="E31" s="800">
        <v>2350</v>
      </c>
      <c r="F31" s="800">
        <v>1570</v>
      </c>
      <c r="G31" s="213">
        <f t="shared" si="1"/>
        <v>8166</v>
      </c>
    </row>
    <row r="32" spans="1:7" ht="11.25" customHeight="1" x14ac:dyDescent="0.25">
      <c r="A32" s="567">
        <v>25</v>
      </c>
      <c r="B32" s="212" t="s">
        <v>79</v>
      </c>
      <c r="C32" s="239" t="s">
        <v>80</v>
      </c>
      <c r="D32" s="800">
        <v>5744</v>
      </c>
      <c r="E32" s="800">
        <v>3339</v>
      </c>
      <c r="F32" s="800">
        <v>2231</v>
      </c>
      <c r="G32" s="213">
        <f t="shared" si="1"/>
        <v>11314</v>
      </c>
    </row>
    <row r="33" spans="1:7" ht="11.25" customHeight="1" x14ac:dyDescent="0.25">
      <c r="A33" s="567">
        <v>26</v>
      </c>
      <c r="B33" s="212" t="s">
        <v>81</v>
      </c>
      <c r="C33" s="239" t="s">
        <v>82</v>
      </c>
      <c r="D33" s="800">
        <v>324</v>
      </c>
      <c r="E33" s="800">
        <v>0</v>
      </c>
      <c r="F33" s="800">
        <v>0</v>
      </c>
      <c r="G33" s="213">
        <f t="shared" si="1"/>
        <v>324</v>
      </c>
    </row>
    <row r="34" spans="1:7" ht="11.25" customHeight="1" x14ac:dyDescent="0.25">
      <c r="A34" s="567">
        <v>27</v>
      </c>
      <c r="B34" s="212" t="s">
        <v>83</v>
      </c>
      <c r="C34" s="239" t="s">
        <v>84</v>
      </c>
      <c r="D34" s="800">
        <v>2816</v>
      </c>
      <c r="E34" s="800">
        <v>1383</v>
      </c>
      <c r="F34" s="800">
        <v>923</v>
      </c>
      <c r="G34" s="213">
        <f t="shared" si="1"/>
        <v>5122</v>
      </c>
    </row>
    <row r="35" spans="1:7" ht="11.25" customHeight="1" x14ac:dyDescent="0.25">
      <c r="A35" s="567">
        <v>28</v>
      </c>
      <c r="B35" s="212" t="s">
        <v>85</v>
      </c>
      <c r="C35" s="239" t="s">
        <v>86</v>
      </c>
      <c r="D35" s="800">
        <v>1493</v>
      </c>
      <c r="E35" s="800">
        <v>728</v>
      </c>
      <c r="F35" s="800">
        <v>487</v>
      </c>
      <c r="G35" s="213">
        <f t="shared" si="1"/>
        <v>2708</v>
      </c>
    </row>
    <row r="36" spans="1:7" ht="11.25" customHeight="1" x14ac:dyDescent="0.25">
      <c r="A36" s="567">
        <v>29</v>
      </c>
      <c r="B36" s="212" t="s">
        <v>87</v>
      </c>
      <c r="C36" s="239" t="s">
        <v>88</v>
      </c>
      <c r="D36" s="800">
        <v>3889</v>
      </c>
      <c r="E36" s="800">
        <v>1906</v>
      </c>
      <c r="F36" s="800">
        <v>1273</v>
      </c>
      <c r="G36" s="213">
        <f t="shared" si="1"/>
        <v>7068</v>
      </c>
    </row>
    <row r="37" spans="1:7" ht="11.25" customHeight="1" x14ac:dyDescent="0.25">
      <c r="A37" s="567">
        <v>30</v>
      </c>
      <c r="B37" s="212" t="s">
        <v>89</v>
      </c>
      <c r="C37" s="239" t="s">
        <v>90</v>
      </c>
      <c r="D37" s="800">
        <v>1353</v>
      </c>
      <c r="E37" s="800">
        <v>485</v>
      </c>
      <c r="F37" s="800">
        <v>324</v>
      </c>
      <c r="G37" s="213">
        <f t="shared" si="1"/>
        <v>2162</v>
      </c>
    </row>
    <row r="38" spans="1:7" ht="11.25" customHeight="1" x14ac:dyDescent="0.25">
      <c r="A38" s="567">
        <v>31</v>
      </c>
      <c r="B38" s="223" t="s">
        <v>91</v>
      </c>
      <c r="C38" s="240" t="s">
        <v>92</v>
      </c>
      <c r="D38" s="800">
        <v>319</v>
      </c>
      <c r="E38" s="800">
        <v>216</v>
      </c>
      <c r="F38" s="800">
        <v>0</v>
      </c>
      <c r="G38" s="213">
        <f t="shared" si="1"/>
        <v>535</v>
      </c>
    </row>
    <row r="39" spans="1:7" ht="11.25" customHeight="1" x14ac:dyDescent="0.25">
      <c r="A39" s="567">
        <v>32</v>
      </c>
      <c r="B39" s="212" t="s">
        <v>93</v>
      </c>
      <c r="C39" s="239" t="s">
        <v>94</v>
      </c>
      <c r="D39" s="800">
        <v>1120</v>
      </c>
      <c r="E39" s="800">
        <v>0</v>
      </c>
      <c r="F39" s="800">
        <v>0</v>
      </c>
      <c r="G39" s="213">
        <f t="shared" si="1"/>
        <v>1120</v>
      </c>
    </row>
    <row r="40" spans="1:7" ht="11.25" customHeight="1" x14ac:dyDescent="0.25">
      <c r="A40" s="567">
        <v>33</v>
      </c>
      <c r="B40" s="212" t="s">
        <v>95</v>
      </c>
      <c r="C40" s="239" t="s">
        <v>96</v>
      </c>
      <c r="D40" s="800">
        <v>331</v>
      </c>
      <c r="E40" s="800">
        <v>181</v>
      </c>
      <c r="F40" s="800">
        <v>121</v>
      </c>
      <c r="G40" s="213">
        <f t="shared" si="1"/>
        <v>633</v>
      </c>
    </row>
    <row r="41" spans="1:7" ht="11.25" customHeight="1" x14ac:dyDescent="0.25">
      <c r="A41" s="567">
        <v>34</v>
      </c>
      <c r="B41" s="212" t="s">
        <v>97</v>
      </c>
      <c r="C41" s="239" t="s">
        <v>98</v>
      </c>
      <c r="D41" s="800">
        <v>759</v>
      </c>
      <c r="E41" s="800">
        <v>514</v>
      </c>
      <c r="F41" s="800">
        <v>343</v>
      </c>
      <c r="G41" s="213">
        <f t="shared" si="1"/>
        <v>1616</v>
      </c>
    </row>
    <row r="42" spans="1:7" ht="11.25" customHeight="1" x14ac:dyDescent="0.25">
      <c r="A42" s="567">
        <v>35</v>
      </c>
      <c r="B42" s="212" t="s">
        <v>99</v>
      </c>
      <c r="C42" s="239" t="s">
        <v>100</v>
      </c>
      <c r="D42" s="800">
        <v>5013</v>
      </c>
      <c r="E42" s="800">
        <v>2409</v>
      </c>
      <c r="F42" s="800">
        <v>1609</v>
      </c>
      <c r="G42" s="213">
        <f t="shared" si="1"/>
        <v>9031</v>
      </c>
    </row>
    <row r="43" spans="1:7" ht="11.25" customHeight="1" x14ac:dyDescent="0.25">
      <c r="A43" s="567">
        <v>36</v>
      </c>
      <c r="B43" s="212" t="s">
        <v>101</v>
      </c>
      <c r="C43" s="239" t="s">
        <v>102</v>
      </c>
      <c r="D43" s="800">
        <v>928</v>
      </c>
      <c r="E43" s="800">
        <v>628</v>
      </c>
      <c r="F43" s="800">
        <v>420</v>
      </c>
      <c r="G43" s="213">
        <f t="shared" si="1"/>
        <v>1976</v>
      </c>
    </row>
    <row r="44" spans="1:7" ht="11.25" customHeight="1" x14ac:dyDescent="0.25">
      <c r="A44" s="567">
        <v>37</v>
      </c>
      <c r="B44" s="212" t="s">
        <v>103</v>
      </c>
      <c r="C44" s="239" t="s">
        <v>104</v>
      </c>
      <c r="D44" s="800">
        <v>4373</v>
      </c>
      <c r="E44" s="800">
        <v>2362</v>
      </c>
      <c r="F44" s="800">
        <v>1427</v>
      </c>
      <c r="G44" s="213">
        <f t="shared" si="1"/>
        <v>8162</v>
      </c>
    </row>
    <row r="45" spans="1:7" ht="11.25" customHeight="1" x14ac:dyDescent="0.25">
      <c r="A45" s="567">
        <v>38</v>
      </c>
      <c r="B45" s="212" t="s">
        <v>105</v>
      </c>
      <c r="C45" s="239" t="s">
        <v>106</v>
      </c>
      <c r="D45" s="800">
        <v>693</v>
      </c>
      <c r="E45" s="800">
        <v>470</v>
      </c>
      <c r="F45" s="800">
        <v>314</v>
      </c>
      <c r="G45" s="213">
        <f t="shared" si="1"/>
        <v>1477</v>
      </c>
    </row>
    <row r="46" spans="1:7" ht="11.25" customHeight="1" x14ac:dyDescent="0.25">
      <c r="A46" s="567">
        <v>39</v>
      </c>
      <c r="B46" s="212" t="s">
        <v>107</v>
      </c>
      <c r="C46" s="239" t="s">
        <v>108</v>
      </c>
      <c r="D46" s="800">
        <v>1071</v>
      </c>
      <c r="E46" s="800">
        <v>0</v>
      </c>
      <c r="F46" s="800">
        <v>0</v>
      </c>
      <c r="G46" s="213">
        <f t="shared" si="1"/>
        <v>1071</v>
      </c>
    </row>
    <row r="47" spans="1:7" ht="11.25" customHeight="1" x14ac:dyDescent="0.25">
      <c r="A47" s="567">
        <v>40</v>
      </c>
      <c r="B47" s="212" t="s">
        <v>109</v>
      </c>
      <c r="C47" s="239" t="s">
        <v>110</v>
      </c>
      <c r="D47" s="800">
        <v>1731</v>
      </c>
      <c r="E47" s="800">
        <v>861</v>
      </c>
      <c r="F47" s="800">
        <v>575</v>
      </c>
      <c r="G47" s="213">
        <f t="shared" si="1"/>
        <v>3167</v>
      </c>
    </row>
    <row r="48" spans="1:7" ht="11.25" customHeight="1" x14ac:dyDescent="0.25">
      <c r="A48" s="567">
        <v>41</v>
      </c>
      <c r="B48" s="566" t="s">
        <v>111</v>
      </c>
      <c r="C48" s="239" t="s">
        <v>112</v>
      </c>
      <c r="D48" s="800">
        <v>212</v>
      </c>
      <c r="E48" s="800">
        <v>0</v>
      </c>
      <c r="F48" s="800">
        <v>150</v>
      </c>
      <c r="G48" s="213">
        <f t="shared" si="1"/>
        <v>362</v>
      </c>
    </row>
    <row r="49" spans="1:7" ht="11.25" customHeight="1" x14ac:dyDescent="0.25">
      <c r="A49" s="567">
        <v>42</v>
      </c>
      <c r="B49" s="212" t="s">
        <v>113</v>
      </c>
      <c r="C49" s="239" t="s">
        <v>114</v>
      </c>
      <c r="D49" s="800">
        <v>0</v>
      </c>
      <c r="E49" s="800">
        <v>585</v>
      </c>
      <c r="F49" s="800">
        <v>391</v>
      </c>
      <c r="G49" s="213">
        <f t="shared" si="1"/>
        <v>976</v>
      </c>
    </row>
    <row r="50" spans="1:7" ht="11.25" customHeight="1" x14ac:dyDescent="0.25">
      <c r="A50" s="567">
        <v>43</v>
      </c>
      <c r="B50" s="212" t="s">
        <v>115</v>
      </c>
      <c r="C50" s="239" t="s">
        <v>116</v>
      </c>
      <c r="D50" s="800">
        <v>1740</v>
      </c>
      <c r="E50" s="800">
        <v>882</v>
      </c>
      <c r="F50" s="800">
        <v>589</v>
      </c>
      <c r="G50" s="213">
        <f t="shared" si="1"/>
        <v>3211</v>
      </c>
    </row>
    <row r="51" spans="1:7" ht="11.25" customHeight="1" x14ac:dyDescent="0.25">
      <c r="A51" s="567">
        <v>44</v>
      </c>
      <c r="B51" s="212" t="s">
        <v>117</v>
      </c>
      <c r="C51" s="240" t="s">
        <v>118</v>
      </c>
      <c r="D51" s="800">
        <v>4378</v>
      </c>
      <c r="E51" s="800">
        <v>2967</v>
      </c>
      <c r="F51" s="800">
        <v>1981</v>
      </c>
      <c r="G51" s="213">
        <f t="shared" si="1"/>
        <v>9326</v>
      </c>
    </row>
    <row r="52" spans="1:7" ht="11.25" customHeight="1" x14ac:dyDescent="0.25">
      <c r="A52" s="567">
        <v>45</v>
      </c>
      <c r="B52" s="212" t="s">
        <v>119</v>
      </c>
      <c r="C52" s="239" t="s">
        <v>120</v>
      </c>
      <c r="D52" s="800">
        <v>951</v>
      </c>
      <c r="E52" s="800">
        <v>490</v>
      </c>
      <c r="F52" s="800">
        <v>327</v>
      </c>
      <c r="G52" s="213">
        <f t="shared" si="1"/>
        <v>1768</v>
      </c>
    </row>
    <row r="53" spans="1:7" ht="11.25" customHeight="1" x14ac:dyDescent="0.25">
      <c r="A53" s="567">
        <v>46</v>
      </c>
      <c r="B53" s="212" t="s">
        <v>127</v>
      </c>
      <c r="C53" s="239" t="s">
        <v>128</v>
      </c>
      <c r="D53" s="800">
        <v>2324</v>
      </c>
      <c r="E53" s="800">
        <v>0</v>
      </c>
      <c r="F53" s="800">
        <v>0</v>
      </c>
      <c r="G53" s="213">
        <f t="shared" si="1"/>
        <v>2324</v>
      </c>
    </row>
    <row r="54" spans="1:7" ht="11.25" customHeight="1" x14ac:dyDescent="0.25">
      <c r="A54" s="567">
        <v>47</v>
      </c>
      <c r="B54" s="212" t="s">
        <v>129</v>
      </c>
      <c r="C54" s="239" t="s">
        <v>460</v>
      </c>
      <c r="D54" s="800">
        <v>1846</v>
      </c>
      <c r="E54" s="800">
        <v>0</v>
      </c>
      <c r="F54" s="800">
        <v>0</v>
      </c>
      <c r="G54" s="213">
        <f t="shared" si="1"/>
        <v>1846</v>
      </c>
    </row>
    <row r="55" spans="1:7" ht="11.25" customHeight="1" x14ac:dyDescent="0.25">
      <c r="A55" s="567">
        <v>48</v>
      </c>
      <c r="B55" s="212" t="s">
        <v>131</v>
      </c>
      <c r="C55" s="239" t="s">
        <v>132</v>
      </c>
      <c r="D55" s="800">
        <v>2624</v>
      </c>
      <c r="E55" s="800">
        <v>0</v>
      </c>
      <c r="F55" s="800">
        <v>0</v>
      </c>
      <c r="G55" s="213">
        <f t="shared" si="1"/>
        <v>2624</v>
      </c>
    </row>
    <row r="56" spans="1:7" ht="11.25" customHeight="1" x14ac:dyDescent="0.25">
      <c r="A56" s="567">
        <v>49</v>
      </c>
      <c r="B56" s="212" t="s">
        <v>133</v>
      </c>
      <c r="C56" s="239" t="s">
        <v>299</v>
      </c>
      <c r="D56" s="800">
        <v>3321</v>
      </c>
      <c r="E56" s="800">
        <v>0</v>
      </c>
      <c r="F56" s="800">
        <v>0</v>
      </c>
      <c r="G56" s="213">
        <f t="shared" si="1"/>
        <v>3321</v>
      </c>
    </row>
    <row r="57" spans="1:7" ht="11.25" customHeight="1" x14ac:dyDescent="0.25">
      <c r="A57" s="567">
        <v>50</v>
      </c>
      <c r="B57" s="317" t="s">
        <v>135</v>
      </c>
      <c r="C57" s="318" t="s">
        <v>680</v>
      </c>
      <c r="D57" s="800">
        <v>1333</v>
      </c>
      <c r="E57" s="800">
        <v>0</v>
      </c>
      <c r="F57" s="800">
        <v>0</v>
      </c>
      <c r="G57" s="213">
        <f t="shared" si="1"/>
        <v>1333</v>
      </c>
    </row>
    <row r="58" spans="1:7" ht="11.25" customHeight="1" x14ac:dyDescent="0.25">
      <c r="A58" s="567">
        <v>51</v>
      </c>
      <c r="B58" s="212" t="s">
        <v>141</v>
      </c>
      <c r="C58" s="239" t="s">
        <v>457</v>
      </c>
      <c r="D58" s="800">
        <v>3570</v>
      </c>
      <c r="E58" s="800">
        <v>2419</v>
      </c>
      <c r="F58" s="800">
        <v>1616</v>
      </c>
      <c r="G58" s="213">
        <f t="shared" si="1"/>
        <v>7605</v>
      </c>
    </row>
    <row r="59" spans="1:7" ht="11.25" customHeight="1" x14ac:dyDescent="0.25">
      <c r="A59" s="567">
        <v>52</v>
      </c>
      <c r="B59" s="212" t="s">
        <v>143</v>
      </c>
      <c r="C59" s="239" t="s">
        <v>144</v>
      </c>
      <c r="D59" s="800">
        <v>2242</v>
      </c>
      <c r="E59" s="800">
        <v>1519</v>
      </c>
      <c r="F59" s="800">
        <v>1014</v>
      </c>
      <c r="G59" s="213">
        <f t="shared" si="1"/>
        <v>4775</v>
      </c>
    </row>
    <row r="60" spans="1:7" ht="11.25" customHeight="1" x14ac:dyDescent="0.25">
      <c r="A60" s="567">
        <v>53</v>
      </c>
      <c r="B60" s="212" t="s">
        <v>145</v>
      </c>
      <c r="C60" s="239" t="s">
        <v>458</v>
      </c>
      <c r="D60" s="800">
        <v>4919</v>
      </c>
      <c r="E60" s="800">
        <v>3332</v>
      </c>
      <c r="F60" s="800">
        <v>2225</v>
      </c>
      <c r="G60" s="213">
        <f t="shared" si="1"/>
        <v>10476</v>
      </c>
    </row>
    <row r="61" spans="1:7" ht="11.25" customHeight="1" x14ac:dyDescent="0.25">
      <c r="A61" s="567">
        <v>54</v>
      </c>
      <c r="B61" s="223" t="s">
        <v>161</v>
      </c>
      <c r="C61" s="240" t="s">
        <v>162</v>
      </c>
      <c r="D61" s="800">
        <v>4082</v>
      </c>
      <c r="E61" s="800">
        <v>1790</v>
      </c>
      <c r="F61" s="800">
        <v>1196</v>
      </c>
      <c r="G61" s="213">
        <f t="shared" si="1"/>
        <v>7068</v>
      </c>
    </row>
    <row r="62" spans="1:7" ht="11.25" customHeight="1" x14ac:dyDescent="0.25">
      <c r="A62" s="567">
        <v>55</v>
      </c>
      <c r="B62" s="223" t="s">
        <v>163</v>
      </c>
      <c r="C62" s="240" t="s">
        <v>459</v>
      </c>
      <c r="D62" s="800">
        <v>6815</v>
      </c>
      <c r="E62" s="800">
        <v>4482</v>
      </c>
      <c r="F62" s="800">
        <v>2993</v>
      </c>
      <c r="G62" s="213">
        <f t="shared" si="1"/>
        <v>14290</v>
      </c>
    </row>
    <row r="63" spans="1:7" ht="11.25" customHeight="1" x14ac:dyDescent="0.25">
      <c r="A63" s="567">
        <v>56</v>
      </c>
      <c r="B63" s="223" t="s">
        <v>165</v>
      </c>
      <c r="C63" s="240" t="s">
        <v>166</v>
      </c>
      <c r="D63" s="800">
        <v>5752</v>
      </c>
      <c r="E63" s="800">
        <v>3897</v>
      </c>
      <c r="F63" s="800">
        <v>2603</v>
      </c>
      <c r="G63" s="213">
        <f t="shared" si="1"/>
        <v>12252</v>
      </c>
    </row>
    <row r="64" spans="1:7" ht="11.25" customHeight="1" x14ac:dyDescent="0.25">
      <c r="A64" s="567">
        <v>57</v>
      </c>
      <c r="B64" s="223" t="s">
        <v>167</v>
      </c>
      <c r="C64" s="240" t="s">
        <v>168</v>
      </c>
      <c r="D64" s="800">
        <v>1131</v>
      </c>
      <c r="E64" s="800">
        <v>766</v>
      </c>
      <c r="F64" s="800">
        <v>512</v>
      </c>
      <c r="G64" s="213">
        <f t="shared" si="1"/>
        <v>2409</v>
      </c>
    </row>
    <row r="65" spans="1:7" ht="11.25" customHeight="1" x14ac:dyDescent="0.25">
      <c r="A65" s="567">
        <v>58</v>
      </c>
      <c r="B65" s="223" t="s">
        <v>169</v>
      </c>
      <c r="C65" s="240" t="s">
        <v>170</v>
      </c>
      <c r="D65" s="800">
        <v>6253</v>
      </c>
      <c r="E65" s="800">
        <v>4237</v>
      </c>
      <c r="F65" s="800">
        <v>2830</v>
      </c>
      <c r="G65" s="213">
        <f t="shared" si="1"/>
        <v>13320</v>
      </c>
    </row>
    <row r="66" spans="1:7" ht="11.25" customHeight="1" x14ac:dyDescent="0.25">
      <c r="A66" s="567">
        <v>59</v>
      </c>
      <c r="B66" s="223" t="s">
        <v>171</v>
      </c>
      <c r="C66" s="240" t="s">
        <v>172</v>
      </c>
      <c r="D66" s="800">
        <v>1921</v>
      </c>
      <c r="E66" s="800">
        <v>0</v>
      </c>
      <c r="F66" s="800">
        <v>0</v>
      </c>
      <c r="G66" s="213">
        <f t="shared" si="1"/>
        <v>1921</v>
      </c>
    </row>
    <row r="67" spans="1:7" ht="11.25" customHeight="1" x14ac:dyDescent="0.25">
      <c r="A67" s="567">
        <v>60</v>
      </c>
      <c r="B67" s="223" t="s">
        <v>173</v>
      </c>
      <c r="C67" s="240" t="s">
        <v>622</v>
      </c>
      <c r="D67" s="800">
        <v>5098</v>
      </c>
      <c r="E67" s="800">
        <v>3454</v>
      </c>
      <c r="F67" s="800">
        <v>2307</v>
      </c>
      <c r="G67" s="213">
        <f t="shared" si="1"/>
        <v>10859</v>
      </c>
    </row>
    <row r="68" spans="1:7" ht="11.25" customHeight="1" x14ac:dyDescent="0.25">
      <c r="A68" s="567">
        <v>61</v>
      </c>
      <c r="B68" s="223" t="s">
        <v>178</v>
      </c>
      <c r="C68" s="240" t="s">
        <v>324</v>
      </c>
      <c r="D68" s="800">
        <v>292</v>
      </c>
      <c r="E68" s="800">
        <v>198</v>
      </c>
      <c r="F68" s="800">
        <v>132</v>
      </c>
      <c r="G68" s="213">
        <f t="shared" si="1"/>
        <v>622</v>
      </c>
    </row>
    <row r="69" spans="1:7" ht="11.25" customHeight="1" x14ac:dyDescent="0.25">
      <c r="A69" s="567">
        <v>62</v>
      </c>
      <c r="B69" s="223" t="s">
        <v>183</v>
      </c>
      <c r="C69" s="240" t="s">
        <v>184</v>
      </c>
      <c r="D69" s="800">
        <v>234</v>
      </c>
      <c r="E69" s="800">
        <v>159</v>
      </c>
      <c r="F69" s="800">
        <v>106</v>
      </c>
      <c r="G69" s="213">
        <f t="shared" si="1"/>
        <v>499</v>
      </c>
    </row>
    <row r="70" spans="1:7" ht="11.25" customHeight="1" x14ac:dyDescent="0.25">
      <c r="A70" s="567">
        <v>63</v>
      </c>
      <c r="B70" s="223" t="s">
        <v>185</v>
      </c>
      <c r="C70" s="240" t="s">
        <v>186</v>
      </c>
      <c r="D70" s="800">
        <v>3232</v>
      </c>
      <c r="E70" s="800">
        <v>2916</v>
      </c>
      <c r="F70" s="800">
        <v>2229</v>
      </c>
      <c r="G70" s="213">
        <f t="shared" si="1"/>
        <v>8377</v>
      </c>
    </row>
    <row r="71" spans="1:7" ht="11.25" customHeight="1" x14ac:dyDescent="0.25">
      <c r="A71" s="567">
        <v>64</v>
      </c>
      <c r="B71" s="223" t="s">
        <v>187</v>
      </c>
      <c r="C71" s="239" t="s">
        <v>188</v>
      </c>
      <c r="D71" s="800">
        <v>815</v>
      </c>
      <c r="E71" s="800">
        <v>409</v>
      </c>
      <c r="F71" s="800">
        <v>273</v>
      </c>
      <c r="G71" s="213">
        <f t="shared" si="1"/>
        <v>1497</v>
      </c>
    </row>
    <row r="72" spans="1:7" ht="11.25" customHeight="1" x14ac:dyDescent="0.25">
      <c r="A72" s="567">
        <v>65</v>
      </c>
      <c r="B72" s="212" t="s">
        <v>189</v>
      </c>
      <c r="C72" s="239" t="s">
        <v>190</v>
      </c>
      <c r="D72" s="800">
        <v>300</v>
      </c>
      <c r="E72" s="800">
        <v>203</v>
      </c>
      <c r="F72" s="800">
        <v>136</v>
      </c>
      <c r="G72" s="213">
        <f t="shared" si="1"/>
        <v>639</v>
      </c>
    </row>
    <row r="73" spans="1:7" ht="11.25" customHeight="1" x14ac:dyDescent="0.25">
      <c r="A73" s="567">
        <v>66</v>
      </c>
      <c r="B73" s="223" t="s">
        <v>191</v>
      </c>
      <c r="C73" s="239" t="s">
        <v>192</v>
      </c>
      <c r="D73" s="800">
        <v>2345</v>
      </c>
      <c r="E73" s="800">
        <v>1122</v>
      </c>
      <c r="F73" s="800">
        <v>749</v>
      </c>
      <c r="G73" s="213">
        <f t="shared" ref="G73:G90" si="2">SUM(D73:F73)</f>
        <v>4216</v>
      </c>
    </row>
    <row r="74" spans="1:7" ht="11.25" customHeight="1" x14ac:dyDescent="0.25">
      <c r="A74" s="567">
        <v>67</v>
      </c>
      <c r="B74" s="223" t="s">
        <v>193</v>
      </c>
      <c r="C74" s="239" t="s">
        <v>194</v>
      </c>
      <c r="D74" s="800">
        <v>717</v>
      </c>
      <c r="E74" s="800">
        <v>486</v>
      </c>
      <c r="F74" s="800">
        <v>324</v>
      </c>
      <c r="G74" s="213">
        <f t="shared" si="2"/>
        <v>1527</v>
      </c>
    </row>
    <row r="75" spans="1:7" ht="11.25" customHeight="1" x14ac:dyDescent="0.25">
      <c r="A75" s="567">
        <v>68</v>
      </c>
      <c r="B75" s="223" t="s">
        <v>195</v>
      </c>
      <c r="C75" s="239" t="s">
        <v>196</v>
      </c>
      <c r="D75" s="800">
        <v>1204</v>
      </c>
      <c r="E75" s="800">
        <v>631</v>
      </c>
      <c r="F75" s="800">
        <v>421</v>
      </c>
      <c r="G75" s="213">
        <f t="shared" si="2"/>
        <v>2256</v>
      </c>
    </row>
    <row r="76" spans="1:7" ht="11.25" customHeight="1" x14ac:dyDescent="0.25">
      <c r="A76" s="567">
        <v>69</v>
      </c>
      <c r="B76" s="223" t="s">
        <v>201</v>
      </c>
      <c r="C76" s="240" t="s">
        <v>202</v>
      </c>
      <c r="D76" s="800">
        <v>550</v>
      </c>
      <c r="E76" s="800">
        <v>210</v>
      </c>
      <c r="F76" s="800">
        <v>127</v>
      </c>
      <c r="G76" s="213">
        <f t="shared" si="2"/>
        <v>887</v>
      </c>
    </row>
    <row r="77" spans="1:7" ht="11.25" customHeight="1" x14ac:dyDescent="0.25">
      <c r="A77" s="567">
        <v>70</v>
      </c>
      <c r="B77" s="223" t="s">
        <v>203</v>
      </c>
      <c r="C77" s="240" t="s">
        <v>204</v>
      </c>
      <c r="D77" s="800">
        <v>621</v>
      </c>
      <c r="E77" s="800">
        <v>421</v>
      </c>
      <c r="F77" s="800">
        <v>0</v>
      </c>
      <c r="G77" s="213">
        <f t="shared" si="2"/>
        <v>1042</v>
      </c>
    </row>
    <row r="78" spans="1:7" ht="11.25" customHeight="1" x14ac:dyDescent="0.25">
      <c r="A78" s="567">
        <v>71</v>
      </c>
      <c r="B78" s="223" t="s">
        <v>205</v>
      </c>
      <c r="C78" s="240" t="s">
        <v>206</v>
      </c>
      <c r="D78" s="800">
        <v>1145</v>
      </c>
      <c r="E78" s="800">
        <v>550</v>
      </c>
      <c r="F78" s="800">
        <v>367</v>
      </c>
      <c r="G78" s="213">
        <f t="shared" si="2"/>
        <v>2062</v>
      </c>
    </row>
    <row r="79" spans="1:7" ht="11.25" customHeight="1" x14ac:dyDescent="0.25">
      <c r="A79" s="567">
        <v>72</v>
      </c>
      <c r="B79" s="223" t="s">
        <v>207</v>
      </c>
      <c r="C79" s="240" t="s">
        <v>208</v>
      </c>
      <c r="D79" s="800">
        <v>1918</v>
      </c>
      <c r="E79" s="800">
        <v>1002</v>
      </c>
      <c r="F79" s="800">
        <v>683</v>
      </c>
      <c r="G79" s="213">
        <f t="shared" si="2"/>
        <v>3603</v>
      </c>
    </row>
    <row r="80" spans="1:7" ht="11.25" customHeight="1" x14ac:dyDescent="0.25">
      <c r="A80" s="567">
        <v>73</v>
      </c>
      <c r="B80" s="223" t="s">
        <v>209</v>
      </c>
      <c r="C80" s="240" t="s">
        <v>210</v>
      </c>
      <c r="D80" s="800">
        <v>635</v>
      </c>
      <c r="E80" s="800">
        <v>430</v>
      </c>
      <c r="F80" s="800">
        <v>288</v>
      </c>
      <c r="G80" s="213">
        <f t="shared" si="2"/>
        <v>1353</v>
      </c>
    </row>
    <row r="81" spans="1:7" ht="11.25" customHeight="1" x14ac:dyDescent="0.25">
      <c r="A81" s="567">
        <v>74</v>
      </c>
      <c r="B81" s="223" t="s">
        <v>211</v>
      </c>
      <c r="C81" s="240" t="s">
        <v>212</v>
      </c>
      <c r="D81" s="800">
        <v>1265</v>
      </c>
      <c r="E81" s="800">
        <v>642</v>
      </c>
      <c r="F81" s="800">
        <v>429</v>
      </c>
      <c r="G81" s="213">
        <f t="shared" si="2"/>
        <v>2336</v>
      </c>
    </row>
    <row r="82" spans="1:7" ht="11.25" customHeight="1" x14ac:dyDescent="0.25">
      <c r="A82" s="567">
        <v>75</v>
      </c>
      <c r="B82" s="223" t="s">
        <v>213</v>
      </c>
      <c r="C82" s="240" t="s">
        <v>214</v>
      </c>
      <c r="D82" s="800">
        <v>2384</v>
      </c>
      <c r="E82" s="800">
        <v>1615</v>
      </c>
      <c r="F82" s="800">
        <v>1079</v>
      </c>
      <c r="G82" s="213">
        <f t="shared" si="2"/>
        <v>5078</v>
      </c>
    </row>
    <row r="83" spans="1:7" ht="11.25" customHeight="1" x14ac:dyDescent="0.25">
      <c r="A83" s="567">
        <v>76</v>
      </c>
      <c r="B83" s="223" t="s">
        <v>258</v>
      </c>
      <c r="C83" s="240" t="s">
        <v>681</v>
      </c>
      <c r="D83" s="800">
        <v>3000</v>
      </c>
      <c r="E83" s="800">
        <v>2130</v>
      </c>
      <c r="F83" s="800">
        <v>1666</v>
      </c>
      <c r="G83" s="213">
        <f t="shared" si="2"/>
        <v>6796</v>
      </c>
    </row>
    <row r="84" spans="1:7" ht="11.25" customHeight="1" x14ac:dyDescent="0.25">
      <c r="A84" s="567">
        <v>77</v>
      </c>
      <c r="B84" s="223" t="s">
        <v>260</v>
      </c>
      <c r="C84" s="240" t="s">
        <v>261</v>
      </c>
      <c r="D84" s="800">
        <v>3000</v>
      </c>
      <c r="E84" s="800">
        <v>0</v>
      </c>
      <c r="F84" s="800">
        <v>0</v>
      </c>
      <c r="G84" s="213">
        <f t="shared" si="2"/>
        <v>3000</v>
      </c>
    </row>
    <row r="85" spans="1:7" ht="11.25" customHeight="1" x14ac:dyDescent="0.25">
      <c r="A85" s="567">
        <v>78</v>
      </c>
      <c r="B85" s="223" t="s">
        <v>262</v>
      </c>
      <c r="C85" s="240" t="s">
        <v>263</v>
      </c>
      <c r="D85" s="800">
        <v>10000</v>
      </c>
      <c r="E85" s="800">
        <v>1200</v>
      </c>
      <c r="F85" s="800">
        <v>500</v>
      </c>
      <c r="G85" s="213">
        <f t="shared" si="2"/>
        <v>11700</v>
      </c>
    </row>
    <row r="86" spans="1:7" ht="11.25" customHeight="1" x14ac:dyDescent="0.25">
      <c r="A86" s="567">
        <v>79</v>
      </c>
      <c r="B86" s="223" t="s">
        <v>264</v>
      </c>
      <c r="C86" s="240" t="s">
        <v>265</v>
      </c>
      <c r="D86" s="800">
        <v>2500</v>
      </c>
      <c r="E86" s="800">
        <v>0</v>
      </c>
      <c r="F86" s="800">
        <v>0</v>
      </c>
      <c r="G86" s="213">
        <f t="shared" si="2"/>
        <v>2500</v>
      </c>
    </row>
    <row r="87" spans="1:7" ht="11.25" customHeight="1" x14ac:dyDescent="0.25">
      <c r="A87" s="567">
        <v>80</v>
      </c>
      <c r="B87" s="223" t="s">
        <v>268</v>
      </c>
      <c r="C87" s="240" t="s">
        <v>269</v>
      </c>
      <c r="D87" s="800">
        <v>700</v>
      </c>
      <c r="E87" s="800">
        <v>0</v>
      </c>
      <c r="F87" s="800">
        <v>0</v>
      </c>
      <c r="G87" s="213">
        <f t="shared" si="2"/>
        <v>700</v>
      </c>
    </row>
    <row r="88" spans="1:7" ht="11.25" customHeight="1" x14ac:dyDescent="0.25">
      <c r="A88" s="567">
        <v>81</v>
      </c>
      <c r="B88" s="223" t="s">
        <v>274</v>
      </c>
      <c r="C88" s="240" t="s">
        <v>275</v>
      </c>
      <c r="D88" s="800">
        <v>432</v>
      </c>
      <c r="E88" s="800">
        <v>850</v>
      </c>
      <c r="F88" s="800">
        <v>550</v>
      </c>
      <c r="G88" s="213">
        <f t="shared" si="2"/>
        <v>1832</v>
      </c>
    </row>
    <row r="89" spans="1:7" ht="11.25" customHeight="1" x14ac:dyDescent="0.25">
      <c r="A89" s="567">
        <v>82</v>
      </c>
      <c r="B89" s="223" t="s">
        <v>276</v>
      </c>
      <c r="C89" s="203" t="s">
        <v>277</v>
      </c>
      <c r="D89" s="800">
        <v>2798</v>
      </c>
      <c r="E89" s="800">
        <v>1896</v>
      </c>
      <c r="F89" s="800">
        <v>1300</v>
      </c>
      <c r="G89" s="213">
        <f t="shared" si="2"/>
        <v>5994</v>
      </c>
    </row>
    <row r="90" spans="1:7" ht="11.25" customHeight="1" x14ac:dyDescent="0.25">
      <c r="A90" s="567">
        <v>83</v>
      </c>
      <c r="B90" s="223" t="s">
        <v>278</v>
      </c>
      <c r="C90" s="240" t="s">
        <v>279</v>
      </c>
      <c r="D90" s="800">
        <v>5594</v>
      </c>
      <c r="E90" s="800">
        <v>2848</v>
      </c>
      <c r="F90" s="800">
        <v>1902</v>
      </c>
      <c r="G90" s="213">
        <f t="shared" si="2"/>
        <v>10344</v>
      </c>
    </row>
    <row r="91" spans="1:7" ht="11.25" customHeight="1" x14ac:dyDescent="0.25">
      <c r="C91" s="235"/>
    </row>
    <row r="92" spans="1:7" ht="11.25" customHeight="1" x14ac:dyDescent="0.25">
      <c r="C92" s="241"/>
      <c r="D92" s="568"/>
      <c r="E92" s="568"/>
      <c r="F92" s="568"/>
    </row>
    <row r="93" spans="1:7" ht="11.25" customHeight="1" x14ac:dyDescent="0.25">
      <c r="C93" s="241"/>
    </row>
    <row r="94" spans="1:7" ht="11.25" customHeight="1" x14ac:dyDescent="0.25"/>
    <row r="96" spans="1:7" ht="11.25" customHeight="1" x14ac:dyDescent="0.25"/>
    <row r="97" ht="11.25" customHeight="1" x14ac:dyDescent="0.25"/>
    <row r="98" ht="15.75" customHeight="1" x14ac:dyDescent="0.25"/>
    <row r="99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Z243"/>
  <sheetViews>
    <sheetView zoomScale="90" zoomScaleNormal="90" zoomScaleSheetLayoutView="85" workbookViewId="0">
      <pane xSplit="3" ySplit="5" topLeftCell="D54" activePane="bottomRight" state="frozen"/>
      <selection activeCell="D11" sqref="D11"/>
      <selection pane="topRight" activeCell="D11" sqref="D11"/>
      <selection pane="bottomLeft" activeCell="D11" sqref="D11"/>
      <selection pane="bottomRight" activeCell="L96" sqref="L96:O96"/>
    </sheetView>
  </sheetViews>
  <sheetFormatPr defaultRowHeight="15" x14ac:dyDescent="0.25"/>
  <cols>
    <col min="1" max="1" width="4" style="242" customWidth="1"/>
    <col min="2" max="2" width="8.28515625" style="242" customWidth="1"/>
    <col min="3" max="3" width="35.42578125" style="290" customWidth="1"/>
    <col min="4" max="4" width="11.42578125" style="291" customWidth="1"/>
    <col min="5" max="5" width="9.140625" style="288" customWidth="1"/>
    <col min="6" max="6" width="11.42578125" style="245" customWidth="1"/>
    <col min="7" max="7" width="15.85546875" style="245" customWidth="1"/>
    <col min="8" max="8" width="8.140625" style="242" customWidth="1"/>
    <col min="9" max="10" width="9" style="242" customWidth="1"/>
    <col min="11" max="11" width="12.7109375" style="242" customWidth="1"/>
    <col min="12" max="12" width="8.7109375" style="242" customWidth="1"/>
    <col min="13" max="13" width="8.5703125" style="242" customWidth="1"/>
    <col min="14" max="14" width="9.140625" style="242" customWidth="1"/>
    <col min="15" max="15" width="8.7109375" style="242" customWidth="1"/>
    <col min="16" max="16" width="11.140625" style="242" customWidth="1"/>
    <col min="17" max="22" width="13.42578125" style="242" customWidth="1"/>
    <col min="23" max="23" width="17.85546875" style="242" customWidth="1"/>
    <col min="24" max="24" width="9.5703125" style="242" customWidth="1"/>
    <col min="25" max="25" width="10.140625" style="242" customWidth="1"/>
    <col min="26" max="26" width="34.42578125" style="242" customWidth="1"/>
    <col min="27" max="16384" width="9.140625" style="242"/>
  </cols>
  <sheetData>
    <row r="1" spans="1:26" ht="27" customHeight="1" x14ac:dyDescent="0.25">
      <c r="A1" s="1276" t="s">
        <v>762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6"/>
      <c r="L1" s="1276"/>
      <c r="M1" s="1276"/>
      <c r="N1" s="1276"/>
      <c r="O1" s="1276"/>
      <c r="P1" s="1276"/>
      <c r="Q1" s="1276"/>
      <c r="R1" s="1276"/>
      <c r="S1" s="1276"/>
      <c r="T1" s="1276"/>
      <c r="U1" s="1276"/>
      <c r="V1" s="1276"/>
      <c r="W1" s="1276"/>
      <c r="X1" s="1276"/>
      <c r="Y1" s="1276"/>
    </row>
    <row r="2" spans="1:26" ht="2.25" customHeight="1" thickBot="1" x14ac:dyDescent="0.3">
      <c r="C2" s="243"/>
      <c r="D2" s="244"/>
      <c r="E2" s="244"/>
      <c r="P2" s="246"/>
      <c r="Q2" s="246"/>
      <c r="R2" s="246"/>
      <c r="S2" s="246"/>
      <c r="T2" s="246"/>
      <c r="U2" s="246"/>
      <c r="V2" s="246"/>
      <c r="W2" s="1277" t="s">
        <v>326</v>
      </c>
      <c r="X2" s="1277"/>
      <c r="Y2" s="1277"/>
    </row>
    <row r="3" spans="1:26" s="249" customFormat="1" ht="72" customHeight="1" x14ac:dyDescent="0.25">
      <c r="A3" s="1278" t="s">
        <v>0</v>
      </c>
      <c r="B3" s="1280" t="s">
        <v>302</v>
      </c>
      <c r="C3" s="1280" t="s">
        <v>292</v>
      </c>
      <c r="D3" s="319" t="s">
        <v>682</v>
      </c>
      <c r="E3" s="247"/>
      <c r="F3" s="247"/>
      <c r="G3" s="247"/>
      <c r="H3" s="247"/>
      <c r="I3" s="247"/>
      <c r="J3" s="247"/>
      <c r="K3" s="248"/>
      <c r="L3" s="1282" t="s">
        <v>683</v>
      </c>
      <c r="M3" s="1283"/>
      <c r="N3" s="1283"/>
      <c r="O3" s="1283"/>
      <c r="P3" s="1284"/>
      <c r="Q3" s="1285" t="s">
        <v>684</v>
      </c>
      <c r="R3" s="1286"/>
      <c r="S3" s="1286"/>
      <c r="T3" s="1286"/>
      <c r="U3" s="1286"/>
      <c r="V3" s="1286"/>
      <c r="W3" s="1286"/>
      <c r="X3" s="1287"/>
      <c r="Y3" s="1288"/>
    </row>
    <row r="4" spans="1:26" s="249" customFormat="1" ht="67.5" customHeight="1" x14ac:dyDescent="0.25">
      <c r="A4" s="1279"/>
      <c r="B4" s="1281"/>
      <c r="C4" s="1281"/>
      <c r="D4" s="1289" t="s">
        <v>685</v>
      </c>
      <c r="E4" s="1291" t="s">
        <v>686</v>
      </c>
      <c r="F4" s="250" t="s">
        <v>763</v>
      </c>
      <c r="G4" s="1293" t="s">
        <v>764</v>
      </c>
      <c r="H4" s="1281" t="s">
        <v>4</v>
      </c>
      <c r="I4" s="1281"/>
      <c r="J4" s="1281"/>
      <c r="K4" s="1295" t="s">
        <v>6</v>
      </c>
      <c r="L4" s="1297" t="s">
        <v>687</v>
      </c>
      <c r="M4" s="1274" t="s">
        <v>688</v>
      </c>
      <c r="N4" s="1274" t="s">
        <v>689</v>
      </c>
      <c r="O4" s="1274" t="s">
        <v>690</v>
      </c>
      <c r="P4" s="1307" t="s">
        <v>6</v>
      </c>
      <c r="Q4" s="1308" t="s">
        <v>691</v>
      </c>
      <c r="R4" s="1299" t="s">
        <v>692</v>
      </c>
      <c r="S4" s="1299" t="s">
        <v>693</v>
      </c>
      <c r="T4" s="1299" t="s">
        <v>694</v>
      </c>
      <c r="U4" s="1299" t="s">
        <v>695</v>
      </c>
      <c r="V4" s="1299" t="s">
        <v>696</v>
      </c>
      <c r="W4" s="1301" t="s">
        <v>697</v>
      </c>
      <c r="X4" s="1303" t="s">
        <v>698</v>
      </c>
      <c r="Y4" s="1305" t="s">
        <v>6</v>
      </c>
    </row>
    <row r="5" spans="1:26" s="249" customFormat="1" ht="51.75" customHeight="1" x14ac:dyDescent="0.25">
      <c r="A5" s="1279"/>
      <c r="B5" s="1281"/>
      <c r="C5" s="1281"/>
      <c r="D5" s="1290"/>
      <c r="E5" s="1292"/>
      <c r="F5" s="251" t="s">
        <v>699</v>
      </c>
      <c r="G5" s="1294"/>
      <c r="H5" s="252" t="s">
        <v>700</v>
      </c>
      <c r="I5" s="252" t="s">
        <v>701</v>
      </c>
      <c r="J5" s="252" t="s">
        <v>702</v>
      </c>
      <c r="K5" s="1296"/>
      <c r="L5" s="1298"/>
      <c r="M5" s="1275"/>
      <c r="N5" s="1275"/>
      <c r="O5" s="1275"/>
      <c r="P5" s="1306"/>
      <c r="Q5" s="1309"/>
      <c r="R5" s="1300"/>
      <c r="S5" s="1300"/>
      <c r="T5" s="1300"/>
      <c r="U5" s="1300"/>
      <c r="V5" s="1300"/>
      <c r="W5" s="1302"/>
      <c r="X5" s="1304"/>
      <c r="Y5" s="1306"/>
    </row>
    <row r="6" spans="1:26" s="264" customFormat="1" ht="12.75" customHeight="1" x14ac:dyDescent="0.25">
      <c r="A6" s="323"/>
      <c r="B6" s="271"/>
      <c r="C6" s="254" t="s">
        <v>6</v>
      </c>
      <c r="D6" s="320">
        <f>D7+D8</f>
        <v>88793</v>
      </c>
      <c r="E6" s="255">
        <f t="shared" ref="E6:Y6" si="0">E7+E8</f>
        <v>4613</v>
      </c>
      <c r="F6" s="256">
        <f t="shared" si="0"/>
        <v>11235</v>
      </c>
      <c r="G6" s="256">
        <f t="shared" si="0"/>
        <v>10675</v>
      </c>
      <c r="H6" s="257">
        <f t="shared" si="0"/>
        <v>8260</v>
      </c>
      <c r="I6" s="257">
        <f t="shared" si="0"/>
        <v>549</v>
      </c>
      <c r="J6" s="257">
        <f t="shared" si="0"/>
        <v>1866</v>
      </c>
      <c r="K6" s="258">
        <f t="shared" si="0"/>
        <v>115316</v>
      </c>
      <c r="L6" s="259">
        <f t="shared" si="0"/>
        <v>1477</v>
      </c>
      <c r="M6" s="260">
        <f t="shared" si="0"/>
        <v>7254</v>
      </c>
      <c r="N6" s="260">
        <f t="shared" si="0"/>
        <v>26049</v>
      </c>
      <c r="O6" s="260">
        <f t="shared" si="0"/>
        <v>16953</v>
      </c>
      <c r="P6" s="261">
        <f t="shared" si="0"/>
        <v>51733</v>
      </c>
      <c r="Q6" s="262">
        <f t="shared" si="0"/>
        <v>183</v>
      </c>
      <c r="R6" s="263">
        <f t="shared" si="0"/>
        <v>479</v>
      </c>
      <c r="S6" s="263">
        <f t="shared" si="0"/>
        <v>290</v>
      </c>
      <c r="T6" s="263">
        <f t="shared" si="0"/>
        <v>290</v>
      </c>
      <c r="U6" s="263">
        <f t="shared" si="0"/>
        <v>393</v>
      </c>
      <c r="V6" s="263">
        <f t="shared" si="0"/>
        <v>1050</v>
      </c>
      <c r="W6" s="263">
        <f t="shared" si="0"/>
        <v>1119</v>
      </c>
      <c r="X6" s="263">
        <f t="shared" si="0"/>
        <v>10</v>
      </c>
      <c r="Y6" s="261">
        <f t="shared" si="0"/>
        <v>3814</v>
      </c>
    </row>
    <row r="7" spans="1:26" s="264" customFormat="1" ht="12.75" customHeight="1" x14ac:dyDescent="0.25">
      <c r="A7" s="323"/>
      <c r="B7" s="271"/>
      <c r="C7" s="322" t="s">
        <v>14</v>
      </c>
      <c r="D7" s="320">
        <v>0</v>
      </c>
      <c r="E7" s="255">
        <v>0</v>
      </c>
      <c r="F7" s="256">
        <v>0</v>
      </c>
      <c r="G7" s="256">
        <v>0</v>
      </c>
      <c r="H7" s="257">
        <v>0</v>
      </c>
      <c r="I7" s="257">
        <v>0</v>
      </c>
      <c r="J7" s="257">
        <v>0</v>
      </c>
      <c r="K7" s="258">
        <v>0</v>
      </c>
      <c r="L7" s="259">
        <v>0</v>
      </c>
      <c r="M7" s="260">
        <v>0</v>
      </c>
      <c r="N7" s="260">
        <v>0</v>
      </c>
      <c r="O7" s="260">
        <v>0</v>
      </c>
      <c r="P7" s="261">
        <v>0</v>
      </c>
      <c r="Q7" s="262">
        <v>0</v>
      </c>
      <c r="R7" s="263">
        <v>0</v>
      </c>
      <c r="S7" s="263">
        <v>0</v>
      </c>
      <c r="T7" s="263">
        <v>0</v>
      </c>
      <c r="U7" s="263">
        <v>0</v>
      </c>
      <c r="V7" s="263">
        <v>0</v>
      </c>
      <c r="W7" s="263">
        <v>0</v>
      </c>
      <c r="X7" s="263">
        <v>0</v>
      </c>
      <c r="Y7" s="261">
        <v>0</v>
      </c>
    </row>
    <row r="8" spans="1:26" s="264" customFormat="1" ht="12" customHeight="1" x14ac:dyDescent="0.25">
      <c r="A8" s="323"/>
      <c r="B8" s="271"/>
      <c r="C8" s="322" t="s">
        <v>15</v>
      </c>
      <c r="D8" s="320">
        <f t="shared" ref="D8:Y8" si="1">SUM(D9:D96)</f>
        <v>88793</v>
      </c>
      <c r="E8" s="255">
        <f t="shared" si="1"/>
        <v>4613</v>
      </c>
      <c r="F8" s="256">
        <f t="shared" si="1"/>
        <v>11235</v>
      </c>
      <c r="G8" s="256">
        <f t="shared" si="1"/>
        <v>10675</v>
      </c>
      <c r="H8" s="257">
        <f>SUM(H9:H96)</f>
        <v>8260</v>
      </c>
      <c r="I8" s="257">
        <f t="shared" ref="I8:J8" si="2">SUM(I9:I96)</f>
        <v>549</v>
      </c>
      <c r="J8" s="257">
        <f t="shared" si="2"/>
        <v>1866</v>
      </c>
      <c r="K8" s="258">
        <f t="shared" si="1"/>
        <v>115316</v>
      </c>
      <c r="L8" s="259">
        <f t="shared" si="1"/>
        <v>1477</v>
      </c>
      <c r="M8" s="260">
        <f t="shared" si="1"/>
        <v>7254</v>
      </c>
      <c r="N8" s="260">
        <f t="shared" si="1"/>
        <v>26049</v>
      </c>
      <c r="O8" s="260">
        <f t="shared" si="1"/>
        <v>16953</v>
      </c>
      <c r="P8" s="261">
        <f t="shared" si="1"/>
        <v>51733</v>
      </c>
      <c r="Q8" s="262">
        <f t="shared" si="1"/>
        <v>183</v>
      </c>
      <c r="R8" s="263">
        <f t="shared" si="1"/>
        <v>479</v>
      </c>
      <c r="S8" s="263">
        <f t="shared" si="1"/>
        <v>290</v>
      </c>
      <c r="T8" s="263">
        <f t="shared" si="1"/>
        <v>290</v>
      </c>
      <c r="U8" s="263">
        <f t="shared" si="1"/>
        <v>393</v>
      </c>
      <c r="V8" s="263">
        <f t="shared" si="1"/>
        <v>1050</v>
      </c>
      <c r="W8" s="263">
        <f t="shared" si="1"/>
        <v>1119</v>
      </c>
      <c r="X8" s="263">
        <f t="shared" si="1"/>
        <v>10</v>
      </c>
      <c r="Y8" s="265">
        <f t="shared" si="1"/>
        <v>3814</v>
      </c>
    </row>
    <row r="9" spans="1:26" s="249" customFormat="1" ht="13.5" customHeight="1" x14ac:dyDescent="0.25">
      <c r="A9" s="324">
        <v>1</v>
      </c>
      <c r="B9" s="268" t="s">
        <v>16</v>
      </c>
      <c r="C9" s="268" t="s">
        <v>17</v>
      </c>
      <c r="D9" s="321">
        <v>353</v>
      </c>
      <c r="E9" s="269">
        <v>0</v>
      </c>
      <c r="F9" s="270">
        <v>0</v>
      </c>
      <c r="G9" s="270">
        <f t="shared" ref="G9:G13" si="3">H9+I9+J9</f>
        <v>0</v>
      </c>
      <c r="H9" s="271"/>
      <c r="I9" s="271"/>
      <c r="J9" s="271"/>
      <c r="K9" s="272">
        <f t="shared" ref="K9:K72" si="4">D9+E9+F9+G9</f>
        <v>353</v>
      </c>
      <c r="L9" s="273">
        <v>0</v>
      </c>
      <c r="M9" s="274">
        <v>0</v>
      </c>
      <c r="N9" s="274">
        <v>0</v>
      </c>
      <c r="O9" s="274">
        <v>0</v>
      </c>
      <c r="P9" s="275">
        <f t="shared" ref="P9:P72" si="5">L9+M9+N9+O9</f>
        <v>0</v>
      </c>
      <c r="Q9" s="253"/>
      <c r="R9" s="269"/>
      <c r="S9" s="269"/>
      <c r="T9" s="269"/>
      <c r="U9" s="269"/>
      <c r="V9" s="269"/>
      <c r="W9" s="269"/>
      <c r="X9" s="276"/>
      <c r="Y9" s="334"/>
      <c r="Z9" s="277"/>
    </row>
    <row r="10" spans="1:26" s="249" customFormat="1" ht="13.5" customHeight="1" x14ac:dyDescent="0.25">
      <c r="A10" s="324">
        <v>2</v>
      </c>
      <c r="B10" s="268" t="s">
        <v>18</v>
      </c>
      <c r="C10" s="268" t="s">
        <v>19</v>
      </c>
      <c r="D10" s="321">
        <v>367</v>
      </c>
      <c r="E10" s="269">
        <v>0</v>
      </c>
      <c r="F10" s="270">
        <v>0</v>
      </c>
      <c r="G10" s="270">
        <f t="shared" si="3"/>
        <v>0</v>
      </c>
      <c r="H10" s="271"/>
      <c r="I10" s="271"/>
      <c r="J10" s="271"/>
      <c r="K10" s="272">
        <f t="shared" si="4"/>
        <v>367</v>
      </c>
      <c r="L10" s="273">
        <v>0</v>
      </c>
      <c r="M10" s="274">
        <v>0</v>
      </c>
      <c r="N10" s="274">
        <v>0</v>
      </c>
      <c r="O10" s="274">
        <v>0</v>
      </c>
      <c r="P10" s="275">
        <f t="shared" si="5"/>
        <v>0</v>
      </c>
      <c r="Q10" s="253"/>
      <c r="R10" s="269"/>
      <c r="S10" s="269"/>
      <c r="T10" s="269"/>
      <c r="U10" s="269"/>
      <c r="V10" s="269"/>
      <c r="W10" s="269"/>
      <c r="X10" s="276"/>
      <c r="Y10" s="335"/>
      <c r="Z10" s="277"/>
    </row>
    <row r="11" spans="1:26" s="249" customFormat="1" ht="13.5" customHeight="1" x14ac:dyDescent="0.25">
      <c r="A11" s="324">
        <v>3</v>
      </c>
      <c r="B11" s="268" t="s">
        <v>20</v>
      </c>
      <c r="C11" s="268" t="s">
        <v>21</v>
      </c>
      <c r="D11" s="321">
        <v>1066</v>
      </c>
      <c r="E11" s="269">
        <v>48</v>
      </c>
      <c r="F11" s="270">
        <v>261</v>
      </c>
      <c r="G11" s="270">
        <f t="shared" si="3"/>
        <v>0</v>
      </c>
      <c r="H11" s="270"/>
      <c r="I11" s="278"/>
      <c r="J11" s="278"/>
      <c r="K11" s="272">
        <f t="shared" si="4"/>
        <v>1375</v>
      </c>
      <c r="L11" s="273">
        <v>25</v>
      </c>
      <c r="M11" s="274">
        <v>173</v>
      </c>
      <c r="N11" s="274">
        <v>497</v>
      </c>
      <c r="O11" s="274">
        <v>337</v>
      </c>
      <c r="P11" s="275">
        <f t="shared" si="5"/>
        <v>1032</v>
      </c>
      <c r="Q11" s="253"/>
      <c r="R11" s="269"/>
      <c r="S11" s="269"/>
      <c r="T11" s="269"/>
      <c r="U11" s="269"/>
      <c r="V11" s="269"/>
      <c r="W11" s="269"/>
      <c r="X11" s="276"/>
      <c r="Y11" s="335"/>
      <c r="Z11" s="277"/>
    </row>
    <row r="12" spans="1:26" s="249" customFormat="1" ht="13.5" customHeight="1" x14ac:dyDescent="0.25">
      <c r="A12" s="324">
        <v>4</v>
      </c>
      <c r="B12" s="268" t="s">
        <v>22</v>
      </c>
      <c r="C12" s="268" t="s">
        <v>23</v>
      </c>
      <c r="D12" s="321">
        <v>409</v>
      </c>
      <c r="E12" s="269">
        <v>0</v>
      </c>
      <c r="F12" s="270">
        <v>0</v>
      </c>
      <c r="G12" s="270">
        <f t="shared" si="3"/>
        <v>0</v>
      </c>
      <c r="H12" s="279"/>
      <c r="I12" s="279"/>
      <c r="J12" s="279"/>
      <c r="K12" s="272">
        <f t="shared" si="4"/>
        <v>409</v>
      </c>
      <c r="L12" s="273">
        <v>0</v>
      </c>
      <c r="M12" s="274">
        <v>0</v>
      </c>
      <c r="N12" s="274">
        <v>0</v>
      </c>
      <c r="O12" s="274">
        <v>0</v>
      </c>
      <c r="P12" s="275">
        <f t="shared" si="5"/>
        <v>0</v>
      </c>
      <c r="Q12" s="253"/>
      <c r="R12" s="269"/>
      <c r="S12" s="269"/>
      <c r="T12" s="269"/>
      <c r="U12" s="269"/>
      <c r="V12" s="269"/>
      <c r="W12" s="269"/>
      <c r="X12" s="276"/>
      <c r="Y12" s="335"/>
      <c r="Z12" s="277"/>
    </row>
    <row r="13" spans="1:26" s="249" customFormat="1" ht="13.5" customHeight="1" x14ac:dyDescent="0.25">
      <c r="A13" s="324">
        <v>5</v>
      </c>
      <c r="B13" s="268" t="s">
        <v>24</v>
      </c>
      <c r="C13" s="268" t="s">
        <v>25</v>
      </c>
      <c r="D13" s="321">
        <v>425</v>
      </c>
      <c r="E13" s="269">
        <v>9</v>
      </c>
      <c r="F13" s="270">
        <v>51</v>
      </c>
      <c r="G13" s="270">
        <f t="shared" si="3"/>
        <v>0</v>
      </c>
      <c r="H13" s="270"/>
      <c r="I13" s="278"/>
      <c r="J13" s="278"/>
      <c r="K13" s="272">
        <f t="shared" si="4"/>
        <v>485</v>
      </c>
      <c r="L13" s="273">
        <v>0</v>
      </c>
      <c r="M13" s="274">
        <v>0</v>
      </c>
      <c r="N13" s="274">
        <v>0</v>
      </c>
      <c r="O13" s="274">
        <v>0</v>
      </c>
      <c r="P13" s="275">
        <f t="shared" si="5"/>
        <v>0</v>
      </c>
      <c r="Q13" s="253"/>
      <c r="R13" s="269"/>
      <c r="S13" s="269"/>
      <c r="T13" s="269"/>
      <c r="U13" s="269"/>
      <c r="V13" s="269"/>
      <c r="W13" s="269"/>
      <c r="X13" s="276"/>
      <c r="Y13" s="335"/>
      <c r="Z13" s="277"/>
    </row>
    <row r="14" spans="1:26" s="249" customFormat="1" ht="13.5" customHeight="1" x14ac:dyDescent="0.25">
      <c r="A14" s="266">
        <v>6</v>
      </c>
      <c r="B14" s="267" t="s">
        <v>26</v>
      </c>
      <c r="C14" s="268" t="s">
        <v>27</v>
      </c>
      <c r="D14" s="321">
        <v>2909</v>
      </c>
      <c r="E14" s="269">
        <v>62</v>
      </c>
      <c r="F14" s="270">
        <v>411</v>
      </c>
      <c r="G14" s="270">
        <f t="shared" ref="G14:G77" si="6">H14+I14+J14</f>
        <v>598</v>
      </c>
      <c r="H14" s="270">
        <v>450</v>
      </c>
      <c r="I14" s="278">
        <v>58</v>
      </c>
      <c r="J14" s="278">
        <v>90</v>
      </c>
      <c r="K14" s="272">
        <f t="shared" si="4"/>
        <v>3980</v>
      </c>
      <c r="L14" s="273">
        <v>59</v>
      </c>
      <c r="M14" s="274">
        <v>452</v>
      </c>
      <c r="N14" s="274">
        <v>1383</v>
      </c>
      <c r="O14" s="274">
        <v>937</v>
      </c>
      <c r="P14" s="275">
        <f t="shared" si="5"/>
        <v>2831</v>
      </c>
      <c r="Q14" s="253"/>
      <c r="R14" s="269"/>
      <c r="S14" s="269"/>
      <c r="T14" s="269"/>
      <c r="U14" s="269"/>
      <c r="V14" s="269"/>
      <c r="W14" s="269"/>
      <c r="X14" s="276"/>
      <c r="Y14" s="335"/>
      <c r="Z14" s="277"/>
    </row>
    <row r="15" spans="1:26" s="249" customFormat="1" ht="13.5" customHeight="1" x14ac:dyDescent="0.25">
      <c r="A15" s="266">
        <v>7</v>
      </c>
      <c r="B15" s="267" t="s">
        <v>28</v>
      </c>
      <c r="C15" s="268" t="s">
        <v>29</v>
      </c>
      <c r="D15" s="321">
        <v>1091</v>
      </c>
      <c r="E15" s="269">
        <v>23</v>
      </c>
      <c r="F15" s="270">
        <v>130</v>
      </c>
      <c r="G15" s="270">
        <f t="shared" si="6"/>
        <v>314</v>
      </c>
      <c r="H15" s="271">
        <v>289</v>
      </c>
      <c r="I15" s="271">
        <v>5</v>
      </c>
      <c r="J15" s="271">
        <v>20</v>
      </c>
      <c r="K15" s="272">
        <f t="shared" si="4"/>
        <v>1558</v>
      </c>
      <c r="L15" s="273">
        <v>0</v>
      </c>
      <c r="M15" s="274">
        <v>0</v>
      </c>
      <c r="N15" s="274">
        <v>0</v>
      </c>
      <c r="O15" s="274">
        <v>0</v>
      </c>
      <c r="P15" s="275">
        <f t="shared" si="5"/>
        <v>0</v>
      </c>
      <c r="Q15" s="253"/>
      <c r="R15" s="269"/>
      <c r="S15" s="269"/>
      <c r="T15" s="269"/>
      <c r="U15" s="269"/>
      <c r="V15" s="269"/>
      <c r="W15" s="269"/>
      <c r="X15" s="276"/>
      <c r="Y15" s="335"/>
      <c r="Z15" s="277"/>
    </row>
    <row r="16" spans="1:26" s="249" customFormat="1" ht="13.5" customHeight="1" x14ac:dyDescent="0.25">
      <c r="A16" s="266">
        <v>8</v>
      </c>
      <c r="B16" s="267" t="s">
        <v>30</v>
      </c>
      <c r="C16" s="268" t="s">
        <v>31</v>
      </c>
      <c r="D16" s="321">
        <v>418</v>
      </c>
      <c r="E16" s="269">
        <v>0</v>
      </c>
      <c r="F16" s="270">
        <v>0</v>
      </c>
      <c r="G16" s="270">
        <f t="shared" si="6"/>
        <v>0</v>
      </c>
      <c r="H16" s="271"/>
      <c r="I16" s="271"/>
      <c r="J16" s="271"/>
      <c r="K16" s="272">
        <f t="shared" si="4"/>
        <v>418</v>
      </c>
      <c r="L16" s="273">
        <v>0</v>
      </c>
      <c r="M16" s="274">
        <v>0</v>
      </c>
      <c r="N16" s="274">
        <v>0</v>
      </c>
      <c r="O16" s="274">
        <v>0</v>
      </c>
      <c r="P16" s="275">
        <f t="shared" si="5"/>
        <v>0</v>
      </c>
      <c r="Q16" s="253"/>
      <c r="R16" s="269"/>
      <c r="S16" s="269"/>
      <c r="T16" s="269"/>
      <c r="U16" s="269"/>
      <c r="V16" s="269"/>
      <c r="W16" s="269"/>
      <c r="X16" s="276"/>
      <c r="Y16" s="335"/>
      <c r="Z16" s="277"/>
    </row>
    <row r="17" spans="1:26" s="249" customFormat="1" ht="13.5" customHeight="1" x14ac:dyDescent="0.25">
      <c r="A17" s="266">
        <v>9</v>
      </c>
      <c r="B17" s="267" t="s">
        <v>32</v>
      </c>
      <c r="C17" s="268" t="s">
        <v>33</v>
      </c>
      <c r="D17" s="321">
        <v>402</v>
      </c>
      <c r="E17" s="269">
        <v>0</v>
      </c>
      <c r="F17" s="270">
        <v>0</v>
      </c>
      <c r="G17" s="270">
        <f t="shared" si="6"/>
        <v>0</v>
      </c>
      <c r="H17" s="271"/>
      <c r="I17" s="271"/>
      <c r="J17" s="271"/>
      <c r="K17" s="272">
        <f t="shared" si="4"/>
        <v>402</v>
      </c>
      <c r="L17" s="273">
        <v>0</v>
      </c>
      <c r="M17" s="274">
        <v>0</v>
      </c>
      <c r="N17" s="274">
        <v>0</v>
      </c>
      <c r="O17" s="274">
        <v>0</v>
      </c>
      <c r="P17" s="275">
        <f t="shared" si="5"/>
        <v>0</v>
      </c>
      <c r="Q17" s="253"/>
      <c r="R17" s="269"/>
      <c r="S17" s="269"/>
      <c r="T17" s="269"/>
      <c r="U17" s="269"/>
      <c r="V17" s="269"/>
      <c r="W17" s="269"/>
      <c r="X17" s="276"/>
      <c r="Y17" s="335"/>
      <c r="Z17" s="277"/>
    </row>
    <row r="18" spans="1:26" s="249" customFormat="1" ht="13.5" customHeight="1" x14ac:dyDescent="0.25">
      <c r="A18" s="266">
        <v>10</v>
      </c>
      <c r="B18" s="267" t="s">
        <v>34</v>
      </c>
      <c r="C18" s="268" t="s">
        <v>35</v>
      </c>
      <c r="D18" s="321">
        <v>529</v>
      </c>
      <c r="E18" s="269">
        <v>0</v>
      </c>
      <c r="F18" s="270">
        <v>0</v>
      </c>
      <c r="G18" s="270">
        <f t="shared" si="6"/>
        <v>0</v>
      </c>
      <c r="H18" s="271"/>
      <c r="I18" s="271"/>
      <c r="J18" s="271"/>
      <c r="K18" s="272">
        <f t="shared" si="4"/>
        <v>529</v>
      </c>
      <c r="L18" s="273">
        <v>0</v>
      </c>
      <c r="M18" s="274">
        <v>0</v>
      </c>
      <c r="N18" s="274">
        <v>0</v>
      </c>
      <c r="O18" s="274">
        <v>0</v>
      </c>
      <c r="P18" s="275">
        <f t="shared" si="5"/>
        <v>0</v>
      </c>
      <c r="Q18" s="253"/>
      <c r="R18" s="269"/>
      <c r="S18" s="269"/>
      <c r="T18" s="269"/>
      <c r="U18" s="269"/>
      <c r="V18" s="269"/>
      <c r="W18" s="269"/>
      <c r="X18" s="276"/>
      <c r="Y18" s="335"/>
      <c r="Z18" s="277"/>
    </row>
    <row r="19" spans="1:26" s="249" customFormat="1" ht="13.5" customHeight="1" x14ac:dyDescent="0.25">
      <c r="A19" s="266">
        <v>11</v>
      </c>
      <c r="B19" s="267" t="s">
        <v>36</v>
      </c>
      <c r="C19" s="268" t="s">
        <v>37</v>
      </c>
      <c r="D19" s="321">
        <v>411</v>
      </c>
      <c r="E19" s="269">
        <v>0</v>
      </c>
      <c r="F19" s="270">
        <v>49</v>
      </c>
      <c r="G19" s="270">
        <f t="shared" si="6"/>
        <v>0</v>
      </c>
      <c r="H19" s="271"/>
      <c r="I19" s="271"/>
      <c r="J19" s="271"/>
      <c r="K19" s="272">
        <f t="shared" si="4"/>
        <v>460</v>
      </c>
      <c r="L19" s="273">
        <v>0</v>
      </c>
      <c r="M19" s="274">
        <v>0</v>
      </c>
      <c r="N19" s="274">
        <v>0</v>
      </c>
      <c r="O19" s="274">
        <v>0</v>
      </c>
      <c r="P19" s="275">
        <f t="shared" si="5"/>
        <v>0</v>
      </c>
      <c r="Q19" s="253"/>
      <c r="R19" s="269"/>
      <c r="S19" s="269"/>
      <c r="T19" s="269"/>
      <c r="U19" s="269"/>
      <c r="V19" s="269"/>
      <c r="W19" s="269"/>
      <c r="X19" s="276"/>
      <c r="Y19" s="335"/>
      <c r="Z19" s="277"/>
    </row>
    <row r="20" spans="1:26" s="249" customFormat="1" ht="13.5" customHeight="1" x14ac:dyDescent="0.25">
      <c r="A20" s="266">
        <v>12</v>
      </c>
      <c r="B20" s="267" t="s">
        <v>38</v>
      </c>
      <c r="C20" s="268" t="s">
        <v>39</v>
      </c>
      <c r="D20" s="321">
        <v>814</v>
      </c>
      <c r="E20" s="269">
        <v>0</v>
      </c>
      <c r="F20" s="270">
        <v>97</v>
      </c>
      <c r="G20" s="270">
        <f t="shared" si="6"/>
        <v>91</v>
      </c>
      <c r="H20" s="271">
        <v>79</v>
      </c>
      <c r="I20" s="271">
        <v>4</v>
      </c>
      <c r="J20" s="271">
        <v>8</v>
      </c>
      <c r="K20" s="272">
        <f t="shared" si="4"/>
        <v>1002</v>
      </c>
      <c r="L20" s="273">
        <v>0</v>
      </c>
      <c r="M20" s="274">
        <v>0</v>
      </c>
      <c r="N20" s="274">
        <v>0</v>
      </c>
      <c r="O20" s="274">
        <v>0</v>
      </c>
      <c r="P20" s="275">
        <f t="shared" si="5"/>
        <v>0</v>
      </c>
      <c r="Q20" s="253"/>
      <c r="R20" s="269"/>
      <c r="S20" s="269"/>
      <c r="T20" s="269"/>
      <c r="U20" s="269"/>
      <c r="V20" s="269"/>
      <c r="W20" s="269"/>
      <c r="X20" s="276"/>
      <c r="Y20" s="335"/>
      <c r="Z20" s="277"/>
    </row>
    <row r="21" spans="1:26" s="249" customFormat="1" ht="13.5" customHeight="1" x14ac:dyDescent="0.25">
      <c r="A21" s="266">
        <v>13</v>
      </c>
      <c r="B21" s="280">
        <v>20163</v>
      </c>
      <c r="C21" s="268" t="s">
        <v>703</v>
      </c>
      <c r="D21" s="321">
        <v>38</v>
      </c>
      <c r="E21" s="269">
        <v>0</v>
      </c>
      <c r="F21" s="270">
        <v>55</v>
      </c>
      <c r="G21" s="270">
        <f t="shared" si="6"/>
        <v>0</v>
      </c>
      <c r="H21" s="271"/>
      <c r="I21" s="271"/>
      <c r="J21" s="271"/>
      <c r="K21" s="272">
        <f>D21+E21+F21+G21</f>
        <v>93</v>
      </c>
      <c r="L21" s="273">
        <v>0</v>
      </c>
      <c r="M21" s="274">
        <v>0</v>
      </c>
      <c r="N21" s="274">
        <v>0</v>
      </c>
      <c r="O21" s="274">
        <v>0</v>
      </c>
      <c r="P21" s="275">
        <f>L21+M21+N21+O21</f>
        <v>0</v>
      </c>
      <c r="Q21" s="253"/>
      <c r="R21" s="269"/>
      <c r="S21" s="269"/>
      <c r="T21" s="269"/>
      <c r="U21" s="269"/>
      <c r="V21" s="269"/>
      <c r="W21" s="269"/>
      <c r="X21" s="276"/>
      <c r="Y21" s="335"/>
      <c r="Z21" s="277"/>
    </row>
    <row r="22" spans="1:26" s="249" customFormat="1" ht="13.5" customHeight="1" x14ac:dyDescent="0.25">
      <c r="A22" s="266">
        <v>14</v>
      </c>
      <c r="B22" s="267" t="s">
        <v>44</v>
      </c>
      <c r="C22" s="268" t="s">
        <v>45</v>
      </c>
      <c r="D22" s="321">
        <v>515</v>
      </c>
      <c r="E22" s="269">
        <v>0</v>
      </c>
      <c r="F22" s="270">
        <v>62</v>
      </c>
      <c r="G22" s="270">
        <f t="shared" si="6"/>
        <v>110</v>
      </c>
      <c r="H22" s="271">
        <v>106</v>
      </c>
      <c r="I22" s="271">
        <v>0</v>
      </c>
      <c r="J22" s="271">
        <v>4</v>
      </c>
      <c r="K22" s="272">
        <f t="shared" si="4"/>
        <v>687</v>
      </c>
      <c r="L22" s="273">
        <v>0</v>
      </c>
      <c r="M22" s="274">
        <v>0</v>
      </c>
      <c r="N22" s="274">
        <v>0</v>
      </c>
      <c r="O22" s="274">
        <v>0</v>
      </c>
      <c r="P22" s="275">
        <f t="shared" si="5"/>
        <v>0</v>
      </c>
      <c r="Q22" s="253"/>
      <c r="R22" s="269"/>
      <c r="S22" s="269"/>
      <c r="T22" s="269"/>
      <c r="U22" s="269"/>
      <c r="V22" s="269"/>
      <c r="W22" s="269"/>
      <c r="X22" s="276"/>
      <c r="Y22" s="335"/>
      <c r="Z22" s="277"/>
    </row>
    <row r="23" spans="1:26" s="249" customFormat="1" ht="13.5" customHeight="1" x14ac:dyDescent="0.25">
      <c r="A23" s="266">
        <v>15</v>
      </c>
      <c r="B23" s="267" t="s">
        <v>46</v>
      </c>
      <c r="C23" s="268" t="s">
        <v>47</v>
      </c>
      <c r="D23" s="321">
        <v>733</v>
      </c>
      <c r="E23" s="269">
        <v>0</v>
      </c>
      <c r="F23" s="270">
        <v>0</v>
      </c>
      <c r="G23" s="270">
        <f t="shared" si="6"/>
        <v>0</v>
      </c>
      <c r="H23" s="271"/>
      <c r="I23" s="271"/>
      <c r="J23" s="271"/>
      <c r="K23" s="272">
        <f t="shared" si="4"/>
        <v>733</v>
      </c>
      <c r="L23" s="273">
        <v>0</v>
      </c>
      <c r="M23" s="274">
        <v>0</v>
      </c>
      <c r="N23" s="274">
        <v>0</v>
      </c>
      <c r="O23" s="274">
        <v>0</v>
      </c>
      <c r="P23" s="275">
        <f t="shared" si="5"/>
        <v>0</v>
      </c>
      <c r="Q23" s="253"/>
      <c r="R23" s="269"/>
      <c r="S23" s="269"/>
      <c r="T23" s="269"/>
      <c r="U23" s="269"/>
      <c r="V23" s="269"/>
      <c r="W23" s="269"/>
      <c r="X23" s="276"/>
      <c r="Y23" s="335"/>
      <c r="Z23" s="277"/>
    </row>
    <row r="24" spans="1:26" s="249" customFormat="1" ht="13.5" customHeight="1" x14ac:dyDescent="0.25">
      <c r="A24" s="266">
        <v>16</v>
      </c>
      <c r="B24" s="267" t="s">
        <v>48</v>
      </c>
      <c r="C24" s="268" t="s">
        <v>49</v>
      </c>
      <c r="D24" s="321">
        <v>968</v>
      </c>
      <c r="E24" s="269">
        <v>21</v>
      </c>
      <c r="F24" s="270">
        <v>116</v>
      </c>
      <c r="G24" s="270">
        <f t="shared" si="6"/>
        <v>132</v>
      </c>
      <c r="H24" s="271">
        <v>117</v>
      </c>
      <c r="I24" s="271">
        <v>5</v>
      </c>
      <c r="J24" s="271">
        <v>10</v>
      </c>
      <c r="K24" s="272">
        <f t="shared" si="4"/>
        <v>1237</v>
      </c>
      <c r="L24" s="273">
        <v>0</v>
      </c>
      <c r="M24" s="274">
        <v>0</v>
      </c>
      <c r="N24" s="274">
        <v>0</v>
      </c>
      <c r="O24" s="274">
        <v>0</v>
      </c>
      <c r="P24" s="275">
        <f t="shared" si="5"/>
        <v>0</v>
      </c>
      <c r="Q24" s="253"/>
      <c r="R24" s="269"/>
      <c r="S24" s="269"/>
      <c r="T24" s="269"/>
      <c r="U24" s="269"/>
      <c r="V24" s="269"/>
      <c r="W24" s="269"/>
      <c r="X24" s="276"/>
      <c r="Y24" s="335"/>
      <c r="Z24" s="277"/>
    </row>
    <row r="25" spans="1:26" s="249" customFormat="1" ht="13.5" customHeight="1" x14ac:dyDescent="0.25">
      <c r="A25" s="266">
        <v>17</v>
      </c>
      <c r="B25" s="267" t="s">
        <v>50</v>
      </c>
      <c r="C25" s="268" t="s">
        <v>51</v>
      </c>
      <c r="D25" s="321">
        <v>1858</v>
      </c>
      <c r="E25" s="269">
        <v>63</v>
      </c>
      <c r="F25" s="270">
        <v>257</v>
      </c>
      <c r="G25" s="270">
        <f t="shared" si="6"/>
        <v>376</v>
      </c>
      <c r="H25" s="270">
        <v>302</v>
      </c>
      <c r="I25" s="278">
        <v>40</v>
      </c>
      <c r="J25" s="278">
        <v>34</v>
      </c>
      <c r="K25" s="272">
        <f t="shared" si="4"/>
        <v>2554</v>
      </c>
      <c r="L25" s="273">
        <v>21</v>
      </c>
      <c r="M25" s="274">
        <v>310</v>
      </c>
      <c r="N25" s="274">
        <v>1549</v>
      </c>
      <c r="O25" s="274">
        <v>1049</v>
      </c>
      <c r="P25" s="275">
        <f t="shared" si="5"/>
        <v>2929</v>
      </c>
      <c r="Q25" s="253"/>
      <c r="R25" s="269"/>
      <c r="S25" s="269"/>
      <c r="T25" s="269"/>
      <c r="U25" s="269"/>
      <c r="V25" s="269"/>
      <c r="W25" s="269"/>
      <c r="X25" s="276"/>
      <c r="Y25" s="335"/>
      <c r="Z25" s="277"/>
    </row>
    <row r="26" spans="1:26" s="249" customFormat="1" ht="13.5" customHeight="1" x14ac:dyDescent="0.25">
      <c r="A26" s="266">
        <v>18</v>
      </c>
      <c r="B26" s="267" t="s">
        <v>52</v>
      </c>
      <c r="C26" s="268" t="s">
        <v>53</v>
      </c>
      <c r="D26" s="321">
        <v>298</v>
      </c>
      <c r="E26" s="269">
        <v>0</v>
      </c>
      <c r="F26" s="270">
        <v>0</v>
      </c>
      <c r="G26" s="270">
        <f t="shared" si="6"/>
        <v>0</v>
      </c>
      <c r="H26" s="279"/>
      <c r="I26" s="279"/>
      <c r="J26" s="279"/>
      <c r="K26" s="272">
        <f t="shared" si="4"/>
        <v>298</v>
      </c>
      <c r="L26" s="273">
        <v>0</v>
      </c>
      <c r="M26" s="274">
        <v>0</v>
      </c>
      <c r="N26" s="274">
        <v>0</v>
      </c>
      <c r="O26" s="274">
        <v>0</v>
      </c>
      <c r="P26" s="275">
        <f t="shared" si="5"/>
        <v>0</v>
      </c>
      <c r="Q26" s="253"/>
      <c r="R26" s="269"/>
      <c r="S26" s="269"/>
      <c r="T26" s="269"/>
      <c r="U26" s="269"/>
      <c r="V26" s="269"/>
      <c r="W26" s="269"/>
      <c r="X26" s="276"/>
      <c r="Y26" s="335"/>
      <c r="Z26" s="277"/>
    </row>
    <row r="27" spans="1:26" s="249" customFormat="1" ht="13.5" customHeight="1" x14ac:dyDescent="0.25">
      <c r="A27" s="266">
        <v>19</v>
      </c>
      <c r="B27" s="267" t="s">
        <v>54</v>
      </c>
      <c r="C27" s="268" t="s">
        <v>55</v>
      </c>
      <c r="D27" s="321">
        <v>253</v>
      </c>
      <c r="E27" s="269">
        <v>0</v>
      </c>
      <c r="F27" s="270">
        <v>30</v>
      </c>
      <c r="G27" s="270">
        <f t="shared" si="6"/>
        <v>0</v>
      </c>
      <c r="H27" s="271"/>
      <c r="I27" s="271"/>
      <c r="J27" s="271"/>
      <c r="K27" s="272">
        <f t="shared" si="4"/>
        <v>283</v>
      </c>
      <c r="L27" s="273">
        <v>0</v>
      </c>
      <c r="M27" s="274">
        <v>0</v>
      </c>
      <c r="N27" s="274">
        <v>0</v>
      </c>
      <c r="O27" s="274">
        <v>0</v>
      </c>
      <c r="P27" s="275">
        <f t="shared" si="5"/>
        <v>0</v>
      </c>
      <c r="Q27" s="253"/>
      <c r="R27" s="269"/>
      <c r="S27" s="269"/>
      <c r="T27" s="269"/>
      <c r="U27" s="269"/>
      <c r="V27" s="269"/>
      <c r="W27" s="269"/>
      <c r="X27" s="276"/>
      <c r="Y27" s="335"/>
      <c r="Z27" s="277"/>
    </row>
    <row r="28" spans="1:26" s="249" customFormat="1" ht="13.5" customHeight="1" x14ac:dyDescent="0.25">
      <c r="A28" s="266">
        <v>20</v>
      </c>
      <c r="B28" s="267" t="s">
        <v>56</v>
      </c>
      <c r="C28" s="268" t="s">
        <v>57</v>
      </c>
      <c r="D28" s="321">
        <v>1286</v>
      </c>
      <c r="E28" s="269">
        <v>28</v>
      </c>
      <c r="F28" s="270">
        <v>154</v>
      </c>
      <c r="G28" s="270">
        <f t="shared" si="6"/>
        <v>184</v>
      </c>
      <c r="H28" s="271">
        <v>154</v>
      </c>
      <c r="I28" s="271">
        <v>0</v>
      </c>
      <c r="J28" s="271">
        <v>30</v>
      </c>
      <c r="K28" s="272">
        <f t="shared" si="4"/>
        <v>1652</v>
      </c>
      <c r="L28" s="273">
        <v>0</v>
      </c>
      <c r="M28" s="274">
        <v>0</v>
      </c>
      <c r="N28" s="274">
        <v>0</v>
      </c>
      <c r="O28" s="274">
        <v>0</v>
      </c>
      <c r="P28" s="275">
        <f t="shared" si="5"/>
        <v>0</v>
      </c>
      <c r="Q28" s="253"/>
      <c r="R28" s="269"/>
      <c r="S28" s="269"/>
      <c r="T28" s="269"/>
      <c r="U28" s="269"/>
      <c r="V28" s="269"/>
      <c r="W28" s="269"/>
      <c r="X28" s="276"/>
      <c r="Y28" s="335"/>
      <c r="Z28" s="277"/>
    </row>
    <row r="29" spans="1:26" s="249" customFormat="1" ht="13.5" customHeight="1" x14ac:dyDescent="0.25">
      <c r="A29" s="266">
        <v>21</v>
      </c>
      <c r="B29" s="267" t="s">
        <v>58</v>
      </c>
      <c r="C29" s="268" t="s">
        <v>59</v>
      </c>
      <c r="D29" s="321">
        <v>1073</v>
      </c>
      <c r="E29" s="269">
        <v>39</v>
      </c>
      <c r="F29" s="270">
        <v>128</v>
      </c>
      <c r="G29" s="270">
        <f t="shared" si="6"/>
        <v>160</v>
      </c>
      <c r="H29" s="271">
        <v>155</v>
      </c>
      <c r="I29" s="271">
        <v>0</v>
      </c>
      <c r="J29" s="271">
        <v>5</v>
      </c>
      <c r="K29" s="272">
        <f t="shared" si="4"/>
        <v>1400</v>
      </c>
      <c r="L29" s="273">
        <v>0</v>
      </c>
      <c r="M29" s="274">
        <v>0</v>
      </c>
      <c r="N29" s="274">
        <v>0</v>
      </c>
      <c r="O29" s="274">
        <v>0</v>
      </c>
      <c r="P29" s="275">
        <f t="shared" si="5"/>
        <v>0</v>
      </c>
      <c r="Q29" s="253"/>
      <c r="R29" s="269"/>
      <c r="S29" s="269"/>
      <c r="T29" s="269"/>
      <c r="U29" s="269"/>
      <c r="V29" s="269"/>
      <c r="W29" s="269"/>
      <c r="X29" s="276"/>
      <c r="Y29" s="335"/>
      <c r="Z29" s="277"/>
    </row>
    <row r="30" spans="1:26" s="249" customFormat="1" ht="13.5" customHeight="1" x14ac:dyDescent="0.25">
      <c r="A30" s="266">
        <v>22</v>
      </c>
      <c r="B30" s="267" t="s">
        <v>60</v>
      </c>
      <c r="C30" s="268" t="s">
        <v>61</v>
      </c>
      <c r="D30" s="321">
        <v>260</v>
      </c>
      <c r="E30" s="269">
        <v>0</v>
      </c>
      <c r="F30" s="270">
        <v>31</v>
      </c>
      <c r="G30" s="270">
        <f t="shared" si="6"/>
        <v>42</v>
      </c>
      <c r="H30" s="271">
        <v>32</v>
      </c>
      <c r="I30" s="271">
        <v>4</v>
      </c>
      <c r="J30" s="271">
        <v>6</v>
      </c>
      <c r="K30" s="272">
        <f t="shared" si="4"/>
        <v>333</v>
      </c>
      <c r="L30" s="273">
        <v>0</v>
      </c>
      <c r="M30" s="274">
        <v>0</v>
      </c>
      <c r="N30" s="274">
        <v>0</v>
      </c>
      <c r="O30" s="274">
        <v>0</v>
      </c>
      <c r="P30" s="275">
        <f t="shared" si="5"/>
        <v>0</v>
      </c>
      <c r="Q30" s="253"/>
      <c r="R30" s="269"/>
      <c r="S30" s="269"/>
      <c r="T30" s="269"/>
      <c r="U30" s="269"/>
      <c r="V30" s="269"/>
      <c r="W30" s="269"/>
      <c r="X30" s="276"/>
      <c r="Y30" s="335"/>
      <c r="Z30" s="277"/>
    </row>
    <row r="31" spans="1:26" s="249" customFormat="1" ht="13.5" customHeight="1" x14ac:dyDescent="0.25">
      <c r="A31" s="266">
        <v>23</v>
      </c>
      <c r="B31" s="267" t="s">
        <v>66</v>
      </c>
      <c r="C31" s="268" t="s">
        <v>67</v>
      </c>
      <c r="D31" s="321">
        <v>4332</v>
      </c>
      <c r="E31" s="269">
        <v>108</v>
      </c>
      <c r="F31" s="270">
        <v>714</v>
      </c>
      <c r="G31" s="270">
        <f t="shared" si="6"/>
        <v>1046</v>
      </c>
      <c r="H31" s="271">
        <v>847</v>
      </c>
      <c r="I31" s="271">
        <v>10</v>
      </c>
      <c r="J31" s="271">
        <v>189</v>
      </c>
      <c r="K31" s="272">
        <f t="shared" si="4"/>
        <v>6200</v>
      </c>
      <c r="L31" s="273">
        <v>200</v>
      </c>
      <c r="M31" s="274">
        <v>891</v>
      </c>
      <c r="N31" s="274">
        <v>1533</v>
      </c>
      <c r="O31" s="274">
        <v>1038</v>
      </c>
      <c r="P31" s="275">
        <f t="shared" si="5"/>
        <v>3662</v>
      </c>
      <c r="Q31" s="253"/>
      <c r="R31" s="269"/>
      <c r="S31" s="269"/>
      <c r="T31" s="269"/>
      <c r="U31" s="269"/>
      <c r="V31" s="269"/>
      <c r="W31" s="269"/>
      <c r="X31" s="276"/>
      <c r="Y31" s="335"/>
      <c r="Z31" s="277"/>
    </row>
    <row r="32" spans="1:26" s="249" customFormat="1" ht="13.5" customHeight="1" x14ac:dyDescent="0.25">
      <c r="A32" s="266">
        <v>24</v>
      </c>
      <c r="B32" s="267" t="s">
        <v>68</v>
      </c>
      <c r="C32" s="268" t="s">
        <v>69</v>
      </c>
      <c r="D32" s="321">
        <v>1102</v>
      </c>
      <c r="E32" s="269">
        <v>24</v>
      </c>
      <c r="F32" s="270">
        <v>132</v>
      </c>
      <c r="G32" s="270">
        <f t="shared" si="6"/>
        <v>174</v>
      </c>
      <c r="H32" s="270">
        <v>168</v>
      </c>
      <c r="I32" s="278">
        <v>0</v>
      </c>
      <c r="J32" s="278">
        <v>6</v>
      </c>
      <c r="K32" s="272">
        <f t="shared" si="4"/>
        <v>1432</v>
      </c>
      <c r="L32" s="273">
        <v>0</v>
      </c>
      <c r="M32" s="274">
        <v>0</v>
      </c>
      <c r="N32" s="274">
        <v>0</v>
      </c>
      <c r="O32" s="274">
        <v>0</v>
      </c>
      <c r="P32" s="275">
        <f t="shared" si="5"/>
        <v>0</v>
      </c>
      <c r="Q32" s="253"/>
      <c r="R32" s="269"/>
      <c r="S32" s="269"/>
      <c r="T32" s="269"/>
      <c r="U32" s="269"/>
      <c r="V32" s="269"/>
      <c r="W32" s="269"/>
      <c r="X32" s="276"/>
      <c r="Y32" s="335"/>
      <c r="Z32" s="277"/>
    </row>
    <row r="33" spans="1:26" s="249" customFormat="1" ht="13.5" customHeight="1" x14ac:dyDescent="0.25">
      <c r="A33" s="266">
        <v>25</v>
      </c>
      <c r="B33" s="267" t="s">
        <v>70</v>
      </c>
      <c r="C33" s="268" t="s">
        <v>71</v>
      </c>
      <c r="D33" s="321">
        <v>882</v>
      </c>
      <c r="E33" s="269">
        <v>0</v>
      </c>
      <c r="F33" s="270">
        <v>0</v>
      </c>
      <c r="G33" s="270">
        <f t="shared" si="6"/>
        <v>0</v>
      </c>
      <c r="H33" s="271"/>
      <c r="I33" s="271"/>
      <c r="J33" s="271"/>
      <c r="K33" s="272">
        <f t="shared" si="4"/>
        <v>882</v>
      </c>
      <c r="L33" s="273">
        <v>0</v>
      </c>
      <c r="M33" s="274">
        <v>0</v>
      </c>
      <c r="N33" s="274">
        <v>0</v>
      </c>
      <c r="O33" s="274">
        <v>0</v>
      </c>
      <c r="P33" s="275">
        <f t="shared" si="5"/>
        <v>0</v>
      </c>
      <c r="Q33" s="253"/>
      <c r="R33" s="269"/>
      <c r="S33" s="269"/>
      <c r="T33" s="269"/>
      <c r="U33" s="269"/>
      <c r="V33" s="269"/>
      <c r="W33" s="269"/>
      <c r="X33" s="276"/>
      <c r="Y33" s="335"/>
      <c r="Z33" s="277"/>
    </row>
    <row r="34" spans="1:26" s="249" customFormat="1" ht="13.5" customHeight="1" x14ac:dyDescent="0.25">
      <c r="A34" s="266">
        <v>26</v>
      </c>
      <c r="B34" s="267" t="s">
        <v>75</v>
      </c>
      <c r="C34" s="268" t="s">
        <v>76</v>
      </c>
      <c r="D34" s="321">
        <v>211</v>
      </c>
      <c r="E34" s="269">
        <v>0</v>
      </c>
      <c r="F34" s="270">
        <v>0</v>
      </c>
      <c r="G34" s="270">
        <f t="shared" si="6"/>
        <v>0</v>
      </c>
      <c r="H34" s="271"/>
      <c r="I34" s="271"/>
      <c r="J34" s="271"/>
      <c r="K34" s="272">
        <f t="shared" si="4"/>
        <v>211</v>
      </c>
      <c r="L34" s="273">
        <v>0</v>
      </c>
      <c r="M34" s="274">
        <v>0</v>
      </c>
      <c r="N34" s="274">
        <v>0</v>
      </c>
      <c r="O34" s="274">
        <v>0</v>
      </c>
      <c r="P34" s="275">
        <f t="shared" si="5"/>
        <v>0</v>
      </c>
      <c r="Q34" s="253"/>
      <c r="R34" s="269"/>
      <c r="S34" s="269"/>
      <c r="T34" s="269"/>
      <c r="U34" s="269"/>
      <c r="V34" s="269"/>
      <c r="W34" s="269"/>
      <c r="X34" s="276"/>
      <c r="Y34" s="335"/>
      <c r="Z34" s="277"/>
    </row>
    <row r="35" spans="1:26" s="249" customFormat="1" ht="13.5" customHeight="1" x14ac:dyDescent="0.25">
      <c r="A35" s="266">
        <v>27</v>
      </c>
      <c r="B35" s="267" t="s">
        <v>77</v>
      </c>
      <c r="C35" s="268" t="s">
        <v>78</v>
      </c>
      <c r="D35" s="321">
        <v>1897</v>
      </c>
      <c r="E35" s="269">
        <v>40</v>
      </c>
      <c r="F35" s="270">
        <v>227</v>
      </c>
      <c r="G35" s="270">
        <f t="shared" si="6"/>
        <v>576</v>
      </c>
      <c r="H35" s="270">
        <v>541</v>
      </c>
      <c r="I35" s="278">
        <v>0</v>
      </c>
      <c r="J35" s="278">
        <v>35</v>
      </c>
      <c r="K35" s="272">
        <f t="shared" si="4"/>
        <v>2740</v>
      </c>
      <c r="L35" s="273">
        <v>5</v>
      </c>
      <c r="M35" s="274">
        <v>73</v>
      </c>
      <c r="N35" s="274">
        <v>1050</v>
      </c>
      <c r="O35" s="274">
        <v>711</v>
      </c>
      <c r="P35" s="275">
        <f t="shared" si="5"/>
        <v>1839</v>
      </c>
      <c r="Q35" s="253"/>
      <c r="R35" s="269"/>
      <c r="S35" s="269"/>
      <c r="T35" s="269"/>
      <c r="U35" s="269"/>
      <c r="V35" s="269"/>
      <c r="W35" s="269"/>
      <c r="X35" s="276"/>
      <c r="Y35" s="335"/>
      <c r="Z35" s="277"/>
    </row>
    <row r="36" spans="1:26" s="249" customFormat="1" ht="13.5" customHeight="1" x14ac:dyDescent="0.25">
      <c r="A36" s="266">
        <v>28</v>
      </c>
      <c r="B36" s="267" t="s">
        <v>79</v>
      </c>
      <c r="C36" s="268" t="s">
        <v>80</v>
      </c>
      <c r="D36" s="321">
        <v>2275</v>
      </c>
      <c r="E36" s="269">
        <v>49</v>
      </c>
      <c r="F36" s="270">
        <v>272</v>
      </c>
      <c r="G36" s="270">
        <f t="shared" si="6"/>
        <v>642</v>
      </c>
      <c r="H36" s="270">
        <v>537</v>
      </c>
      <c r="I36" s="278">
        <v>45</v>
      </c>
      <c r="J36" s="278">
        <v>60</v>
      </c>
      <c r="K36" s="272">
        <f t="shared" si="4"/>
        <v>3238</v>
      </c>
      <c r="L36" s="273">
        <v>34</v>
      </c>
      <c r="M36" s="274">
        <v>358</v>
      </c>
      <c r="N36" s="274">
        <v>603</v>
      </c>
      <c r="O36" s="274">
        <v>408</v>
      </c>
      <c r="P36" s="275">
        <f t="shared" si="5"/>
        <v>1403</v>
      </c>
      <c r="Q36" s="253"/>
      <c r="R36" s="269"/>
      <c r="S36" s="269"/>
      <c r="T36" s="269"/>
      <c r="U36" s="269"/>
      <c r="V36" s="269"/>
      <c r="W36" s="269"/>
      <c r="X36" s="276"/>
      <c r="Y36" s="335"/>
      <c r="Z36" s="277"/>
    </row>
    <row r="37" spans="1:26" s="249" customFormat="1" ht="13.5" customHeight="1" x14ac:dyDescent="0.25">
      <c r="A37" s="266">
        <v>29</v>
      </c>
      <c r="B37" s="267" t="s">
        <v>81</v>
      </c>
      <c r="C37" s="268" t="s">
        <v>82</v>
      </c>
      <c r="D37" s="321">
        <v>451</v>
      </c>
      <c r="E37" s="269">
        <v>0</v>
      </c>
      <c r="F37" s="270">
        <v>54</v>
      </c>
      <c r="G37" s="270">
        <f t="shared" si="6"/>
        <v>0</v>
      </c>
      <c r="H37" s="271"/>
      <c r="I37" s="271"/>
      <c r="J37" s="271"/>
      <c r="K37" s="272">
        <f t="shared" si="4"/>
        <v>505</v>
      </c>
      <c r="L37" s="273">
        <v>0</v>
      </c>
      <c r="M37" s="274">
        <v>0</v>
      </c>
      <c r="N37" s="274">
        <v>0</v>
      </c>
      <c r="O37" s="274">
        <v>0</v>
      </c>
      <c r="P37" s="275">
        <f t="shared" si="5"/>
        <v>0</v>
      </c>
      <c r="Q37" s="253"/>
      <c r="R37" s="269"/>
      <c r="S37" s="269"/>
      <c r="T37" s="269"/>
      <c r="U37" s="269"/>
      <c r="V37" s="269"/>
      <c r="W37" s="269"/>
      <c r="X37" s="276"/>
      <c r="Y37" s="335"/>
      <c r="Z37" s="277"/>
    </row>
    <row r="38" spans="1:26" s="249" customFormat="1" ht="13.5" customHeight="1" x14ac:dyDescent="0.25">
      <c r="A38" s="266">
        <v>30</v>
      </c>
      <c r="B38" s="267" t="s">
        <v>83</v>
      </c>
      <c r="C38" s="268" t="s">
        <v>84</v>
      </c>
      <c r="D38" s="321">
        <v>1543</v>
      </c>
      <c r="E38" s="269">
        <v>33</v>
      </c>
      <c r="F38" s="270">
        <v>184</v>
      </c>
      <c r="G38" s="270">
        <f t="shared" si="6"/>
        <v>0</v>
      </c>
      <c r="H38" s="271"/>
      <c r="I38" s="271"/>
      <c r="J38" s="271"/>
      <c r="K38" s="272">
        <f t="shared" si="4"/>
        <v>1760</v>
      </c>
      <c r="L38" s="273">
        <v>20</v>
      </c>
      <c r="M38" s="274">
        <v>153</v>
      </c>
      <c r="N38" s="274">
        <v>403</v>
      </c>
      <c r="O38" s="274">
        <v>273</v>
      </c>
      <c r="P38" s="275">
        <f t="shared" si="5"/>
        <v>849</v>
      </c>
      <c r="Q38" s="253"/>
      <c r="R38" s="269"/>
      <c r="S38" s="269"/>
      <c r="T38" s="269"/>
      <c r="U38" s="269"/>
      <c r="V38" s="269"/>
      <c r="W38" s="269"/>
      <c r="X38" s="276"/>
      <c r="Y38" s="335"/>
      <c r="Z38" s="277"/>
    </row>
    <row r="39" spans="1:26" s="249" customFormat="1" ht="13.5" customHeight="1" x14ac:dyDescent="0.25">
      <c r="A39" s="266">
        <v>31</v>
      </c>
      <c r="B39" s="267" t="s">
        <v>85</v>
      </c>
      <c r="C39" s="268" t="s">
        <v>86</v>
      </c>
      <c r="D39" s="321">
        <v>589</v>
      </c>
      <c r="E39" s="269">
        <v>13</v>
      </c>
      <c r="F39" s="270">
        <v>70</v>
      </c>
      <c r="G39" s="270">
        <f t="shared" si="6"/>
        <v>0</v>
      </c>
      <c r="H39" s="271"/>
      <c r="I39" s="271"/>
      <c r="J39" s="271"/>
      <c r="K39" s="272">
        <f t="shared" si="4"/>
        <v>672</v>
      </c>
      <c r="L39" s="273">
        <v>0</v>
      </c>
      <c r="M39" s="274">
        <v>0</v>
      </c>
      <c r="N39" s="274">
        <v>0</v>
      </c>
      <c r="O39" s="274">
        <v>0</v>
      </c>
      <c r="P39" s="275">
        <f t="shared" si="5"/>
        <v>0</v>
      </c>
      <c r="Q39" s="253"/>
      <c r="R39" s="269"/>
      <c r="S39" s="269"/>
      <c r="T39" s="269"/>
      <c r="U39" s="269"/>
      <c r="V39" s="269"/>
      <c r="W39" s="269"/>
      <c r="X39" s="276"/>
      <c r="Y39" s="335"/>
      <c r="Z39" s="277"/>
    </row>
    <row r="40" spans="1:26" s="249" customFormat="1" ht="13.5" customHeight="1" x14ac:dyDescent="0.25">
      <c r="A40" s="266">
        <v>32</v>
      </c>
      <c r="B40" s="267" t="s">
        <v>87</v>
      </c>
      <c r="C40" s="268" t="s">
        <v>88</v>
      </c>
      <c r="D40" s="321">
        <v>1541</v>
      </c>
      <c r="E40" s="269">
        <v>33</v>
      </c>
      <c r="F40" s="270">
        <v>184</v>
      </c>
      <c r="G40" s="270">
        <f t="shared" si="6"/>
        <v>0</v>
      </c>
      <c r="H40" s="271"/>
      <c r="I40" s="271"/>
      <c r="J40" s="271"/>
      <c r="K40" s="272">
        <f t="shared" si="4"/>
        <v>1758</v>
      </c>
      <c r="L40" s="273">
        <v>0</v>
      </c>
      <c r="M40" s="274">
        <v>0</v>
      </c>
      <c r="N40" s="274">
        <v>0</v>
      </c>
      <c r="O40" s="274">
        <v>0</v>
      </c>
      <c r="P40" s="275">
        <f t="shared" si="5"/>
        <v>0</v>
      </c>
      <c r="Q40" s="253"/>
      <c r="R40" s="269"/>
      <c r="S40" s="269"/>
      <c r="T40" s="269"/>
      <c r="U40" s="269"/>
      <c r="V40" s="269"/>
      <c r="W40" s="269"/>
      <c r="X40" s="276"/>
      <c r="Y40" s="335"/>
      <c r="Z40" s="277"/>
    </row>
    <row r="41" spans="1:26" s="249" customFormat="1" ht="13.5" customHeight="1" x14ac:dyDescent="0.25">
      <c r="A41" s="266">
        <v>33</v>
      </c>
      <c r="B41" s="267" t="s">
        <v>89</v>
      </c>
      <c r="C41" s="268" t="s">
        <v>90</v>
      </c>
      <c r="D41" s="321">
        <v>541</v>
      </c>
      <c r="E41" s="269">
        <v>12</v>
      </c>
      <c r="F41" s="270">
        <v>65</v>
      </c>
      <c r="G41" s="270">
        <f t="shared" si="6"/>
        <v>0</v>
      </c>
      <c r="H41" s="271"/>
      <c r="I41" s="271"/>
      <c r="J41" s="271"/>
      <c r="K41" s="272">
        <f t="shared" si="4"/>
        <v>618</v>
      </c>
      <c r="L41" s="273">
        <v>0</v>
      </c>
      <c r="M41" s="274">
        <v>0</v>
      </c>
      <c r="N41" s="274">
        <v>0</v>
      </c>
      <c r="O41" s="274">
        <v>0</v>
      </c>
      <c r="P41" s="275">
        <f t="shared" si="5"/>
        <v>0</v>
      </c>
      <c r="Q41" s="253"/>
      <c r="R41" s="269"/>
      <c r="S41" s="269"/>
      <c r="T41" s="269"/>
      <c r="U41" s="269"/>
      <c r="V41" s="269"/>
      <c r="W41" s="269"/>
      <c r="X41" s="276"/>
      <c r="Y41" s="335"/>
      <c r="Z41" s="277"/>
    </row>
    <row r="42" spans="1:26" s="249" customFormat="1" ht="13.5" customHeight="1" x14ac:dyDescent="0.25">
      <c r="A42" s="266">
        <v>34</v>
      </c>
      <c r="B42" s="267" t="s">
        <v>91</v>
      </c>
      <c r="C42" s="268" t="s">
        <v>92</v>
      </c>
      <c r="D42" s="321">
        <v>349</v>
      </c>
      <c r="E42" s="269">
        <v>0</v>
      </c>
      <c r="F42" s="270">
        <v>0</v>
      </c>
      <c r="G42" s="270">
        <f t="shared" si="6"/>
        <v>0</v>
      </c>
      <c r="H42" s="271"/>
      <c r="I42" s="271"/>
      <c r="J42" s="271"/>
      <c r="K42" s="272">
        <f t="shared" si="4"/>
        <v>349</v>
      </c>
      <c r="L42" s="273">
        <v>0</v>
      </c>
      <c r="M42" s="274">
        <v>0</v>
      </c>
      <c r="N42" s="274">
        <v>0</v>
      </c>
      <c r="O42" s="274">
        <v>0</v>
      </c>
      <c r="P42" s="275">
        <f t="shared" si="5"/>
        <v>0</v>
      </c>
      <c r="Q42" s="253"/>
      <c r="R42" s="269"/>
      <c r="S42" s="269"/>
      <c r="T42" s="269"/>
      <c r="U42" s="269"/>
      <c r="V42" s="269"/>
      <c r="W42" s="269"/>
      <c r="X42" s="276"/>
      <c r="Y42" s="335"/>
      <c r="Z42" s="277"/>
    </row>
    <row r="43" spans="1:26" s="249" customFormat="1" ht="13.5" customHeight="1" x14ac:dyDescent="0.25">
      <c r="A43" s="266">
        <v>35</v>
      </c>
      <c r="B43" s="267" t="s">
        <v>93</v>
      </c>
      <c r="C43" s="268" t="s">
        <v>94</v>
      </c>
      <c r="D43" s="321">
        <v>614</v>
      </c>
      <c r="E43" s="269">
        <v>13</v>
      </c>
      <c r="F43" s="270">
        <v>0</v>
      </c>
      <c r="G43" s="270">
        <f t="shared" si="6"/>
        <v>0</v>
      </c>
      <c r="H43" s="271"/>
      <c r="I43" s="271"/>
      <c r="J43" s="271"/>
      <c r="K43" s="272">
        <f t="shared" si="4"/>
        <v>627</v>
      </c>
      <c r="L43" s="273">
        <v>0</v>
      </c>
      <c r="M43" s="274">
        <v>0</v>
      </c>
      <c r="N43" s="274">
        <v>0</v>
      </c>
      <c r="O43" s="274">
        <v>0</v>
      </c>
      <c r="P43" s="275">
        <f t="shared" si="5"/>
        <v>0</v>
      </c>
      <c r="Q43" s="253"/>
      <c r="R43" s="269"/>
      <c r="S43" s="269"/>
      <c r="T43" s="269"/>
      <c r="U43" s="269"/>
      <c r="V43" s="269"/>
      <c r="W43" s="269"/>
      <c r="X43" s="276"/>
      <c r="Y43" s="335"/>
      <c r="Z43" s="277"/>
    </row>
    <row r="44" spans="1:26" s="249" customFormat="1" ht="14.25" customHeight="1" x14ac:dyDescent="0.25">
      <c r="A44" s="266">
        <v>36</v>
      </c>
      <c r="B44" s="267" t="s">
        <v>97</v>
      </c>
      <c r="C44" s="268" t="s">
        <v>98</v>
      </c>
      <c r="D44" s="321">
        <v>416</v>
      </c>
      <c r="E44" s="269">
        <v>0</v>
      </c>
      <c r="F44" s="270">
        <v>50</v>
      </c>
      <c r="G44" s="270">
        <f t="shared" si="6"/>
        <v>0</v>
      </c>
      <c r="H44" s="271"/>
      <c r="I44" s="271"/>
      <c r="J44" s="271"/>
      <c r="K44" s="272">
        <f t="shared" si="4"/>
        <v>466</v>
      </c>
      <c r="L44" s="273">
        <v>4</v>
      </c>
      <c r="M44" s="274">
        <v>33</v>
      </c>
      <c r="N44" s="274">
        <v>83</v>
      </c>
      <c r="O44" s="274">
        <v>56</v>
      </c>
      <c r="P44" s="275">
        <f t="shared" si="5"/>
        <v>176</v>
      </c>
      <c r="Q44" s="253"/>
      <c r="R44" s="269"/>
      <c r="S44" s="269"/>
      <c r="T44" s="269"/>
      <c r="U44" s="269"/>
      <c r="V44" s="269"/>
      <c r="W44" s="269"/>
      <c r="X44" s="276"/>
      <c r="Y44" s="335"/>
      <c r="Z44" s="277"/>
    </row>
    <row r="45" spans="1:26" s="249" customFormat="1" ht="13.5" customHeight="1" x14ac:dyDescent="0.25">
      <c r="A45" s="266">
        <v>37</v>
      </c>
      <c r="B45" s="267" t="s">
        <v>99</v>
      </c>
      <c r="C45" s="268" t="s">
        <v>100</v>
      </c>
      <c r="D45" s="321">
        <v>1991</v>
      </c>
      <c r="E45" s="269">
        <v>53</v>
      </c>
      <c r="F45" s="270">
        <v>233</v>
      </c>
      <c r="G45" s="270">
        <f t="shared" si="6"/>
        <v>1082</v>
      </c>
      <c r="H45" s="270">
        <v>922</v>
      </c>
      <c r="I45" s="278">
        <v>60</v>
      </c>
      <c r="J45" s="278">
        <v>100</v>
      </c>
      <c r="K45" s="272">
        <f t="shared" si="4"/>
        <v>3359</v>
      </c>
      <c r="L45" s="273">
        <v>23</v>
      </c>
      <c r="M45" s="274">
        <v>174</v>
      </c>
      <c r="N45" s="274">
        <v>534</v>
      </c>
      <c r="O45" s="274">
        <v>362</v>
      </c>
      <c r="P45" s="275">
        <f t="shared" si="5"/>
        <v>1093</v>
      </c>
      <c r="Q45" s="253"/>
      <c r="R45" s="269"/>
      <c r="S45" s="269"/>
      <c r="T45" s="269"/>
      <c r="U45" s="269"/>
      <c r="V45" s="269"/>
      <c r="W45" s="269"/>
      <c r="X45" s="276"/>
      <c r="Y45" s="335"/>
      <c r="Z45" s="277"/>
    </row>
    <row r="46" spans="1:26" s="249" customFormat="1" ht="13.5" customHeight="1" x14ac:dyDescent="0.25">
      <c r="A46" s="266">
        <v>38</v>
      </c>
      <c r="B46" s="267" t="s">
        <v>101</v>
      </c>
      <c r="C46" s="268" t="s">
        <v>102</v>
      </c>
      <c r="D46" s="321">
        <v>508</v>
      </c>
      <c r="E46" s="269">
        <v>0</v>
      </c>
      <c r="F46" s="270">
        <v>61</v>
      </c>
      <c r="G46" s="270">
        <f t="shared" si="6"/>
        <v>0</v>
      </c>
      <c r="H46" s="271"/>
      <c r="I46" s="271"/>
      <c r="J46" s="271"/>
      <c r="K46" s="272">
        <f t="shared" si="4"/>
        <v>569</v>
      </c>
      <c r="L46" s="273">
        <v>0</v>
      </c>
      <c r="M46" s="274">
        <v>0</v>
      </c>
      <c r="N46" s="274">
        <v>0</v>
      </c>
      <c r="O46" s="274">
        <v>0</v>
      </c>
      <c r="P46" s="275">
        <f t="shared" si="5"/>
        <v>0</v>
      </c>
      <c r="Q46" s="253"/>
      <c r="R46" s="269"/>
      <c r="S46" s="269"/>
      <c r="T46" s="269"/>
      <c r="U46" s="269"/>
      <c r="V46" s="269"/>
      <c r="W46" s="269"/>
      <c r="X46" s="276"/>
      <c r="Y46" s="335"/>
      <c r="Z46" s="277"/>
    </row>
    <row r="47" spans="1:26" s="249" customFormat="1" ht="13.5" customHeight="1" x14ac:dyDescent="0.25">
      <c r="A47" s="266">
        <v>39</v>
      </c>
      <c r="B47" s="267" t="s">
        <v>103</v>
      </c>
      <c r="C47" s="268" t="s">
        <v>104</v>
      </c>
      <c r="D47" s="321">
        <v>1659</v>
      </c>
      <c r="E47" s="269">
        <v>41</v>
      </c>
      <c r="F47" s="270">
        <v>198</v>
      </c>
      <c r="G47" s="270">
        <f t="shared" si="6"/>
        <v>0</v>
      </c>
      <c r="H47" s="270"/>
      <c r="I47" s="278"/>
      <c r="J47" s="278"/>
      <c r="K47" s="272">
        <f t="shared" si="4"/>
        <v>1898</v>
      </c>
      <c r="L47" s="273">
        <v>22</v>
      </c>
      <c r="M47" s="274">
        <v>215</v>
      </c>
      <c r="N47" s="274">
        <v>594</v>
      </c>
      <c r="O47" s="274">
        <v>403</v>
      </c>
      <c r="P47" s="275">
        <f t="shared" si="5"/>
        <v>1234</v>
      </c>
      <c r="Q47" s="253"/>
      <c r="R47" s="269"/>
      <c r="S47" s="269"/>
      <c r="T47" s="269"/>
      <c r="U47" s="269"/>
      <c r="V47" s="269"/>
      <c r="W47" s="269"/>
      <c r="X47" s="276"/>
      <c r="Y47" s="335"/>
      <c r="Z47" s="277"/>
    </row>
    <row r="48" spans="1:26" s="249" customFormat="1" ht="13.5" customHeight="1" x14ac:dyDescent="0.25">
      <c r="A48" s="266">
        <v>40</v>
      </c>
      <c r="B48" s="267" t="s">
        <v>105</v>
      </c>
      <c r="C48" s="268" t="s">
        <v>106</v>
      </c>
      <c r="D48" s="321">
        <v>380</v>
      </c>
      <c r="E48" s="269">
        <v>0</v>
      </c>
      <c r="F48" s="270">
        <v>45</v>
      </c>
      <c r="G48" s="270">
        <f t="shared" si="6"/>
        <v>0</v>
      </c>
      <c r="H48" s="270"/>
      <c r="I48" s="278"/>
      <c r="J48" s="278"/>
      <c r="K48" s="272">
        <f t="shared" si="4"/>
        <v>425</v>
      </c>
      <c r="L48" s="273">
        <v>0</v>
      </c>
      <c r="M48" s="274">
        <v>0</v>
      </c>
      <c r="N48" s="274">
        <v>0</v>
      </c>
      <c r="O48" s="274">
        <v>0</v>
      </c>
      <c r="P48" s="275">
        <f t="shared" si="5"/>
        <v>0</v>
      </c>
      <c r="Q48" s="253"/>
      <c r="R48" s="269"/>
      <c r="S48" s="269"/>
      <c r="T48" s="269"/>
      <c r="U48" s="269"/>
      <c r="V48" s="269"/>
      <c r="W48" s="269"/>
      <c r="X48" s="276"/>
      <c r="Y48" s="335"/>
      <c r="Z48" s="277"/>
    </row>
    <row r="49" spans="1:26" s="249" customFormat="1" ht="13.5" customHeight="1" x14ac:dyDescent="0.25">
      <c r="A49" s="266">
        <v>41</v>
      </c>
      <c r="B49" s="267" t="s">
        <v>107</v>
      </c>
      <c r="C49" s="268" t="s">
        <v>108</v>
      </c>
      <c r="D49" s="321">
        <v>587</v>
      </c>
      <c r="E49" s="269">
        <v>0</v>
      </c>
      <c r="F49" s="270">
        <v>70</v>
      </c>
      <c r="G49" s="270">
        <f t="shared" si="6"/>
        <v>0</v>
      </c>
      <c r="H49" s="270"/>
      <c r="I49" s="278"/>
      <c r="J49" s="278"/>
      <c r="K49" s="272">
        <f t="shared" si="4"/>
        <v>657</v>
      </c>
      <c r="L49" s="273">
        <v>0</v>
      </c>
      <c r="M49" s="274">
        <v>0</v>
      </c>
      <c r="N49" s="274">
        <v>0</v>
      </c>
      <c r="O49" s="274">
        <v>0</v>
      </c>
      <c r="P49" s="275">
        <f t="shared" si="5"/>
        <v>0</v>
      </c>
      <c r="Q49" s="253"/>
      <c r="R49" s="269"/>
      <c r="S49" s="269"/>
      <c r="T49" s="269"/>
      <c r="U49" s="269"/>
      <c r="V49" s="269"/>
      <c r="W49" s="269"/>
      <c r="X49" s="276"/>
      <c r="Y49" s="335"/>
      <c r="Z49" s="277"/>
    </row>
    <row r="50" spans="1:26" s="249" customFormat="1" ht="13.5" customHeight="1" x14ac:dyDescent="0.25">
      <c r="A50" s="266">
        <v>42</v>
      </c>
      <c r="B50" s="267" t="s">
        <v>109</v>
      </c>
      <c r="C50" s="268" t="s">
        <v>110</v>
      </c>
      <c r="D50" s="321">
        <v>696</v>
      </c>
      <c r="E50" s="269">
        <v>15</v>
      </c>
      <c r="F50" s="270">
        <v>83</v>
      </c>
      <c r="G50" s="270">
        <f t="shared" si="6"/>
        <v>0</v>
      </c>
      <c r="H50" s="271"/>
      <c r="I50" s="271"/>
      <c r="J50" s="271"/>
      <c r="K50" s="272">
        <f t="shared" si="4"/>
        <v>794</v>
      </c>
      <c r="L50" s="273">
        <v>32</v>
      </c>
      <c r="M50" s="274">
        <v>183</v>
      </c>
      <c r="N50" s="274">
        <v>327</v>
      </c>
      <c r="O50" s="274">
        <v>221</v>
      </c>
      <c r="P50" s="275">
        <f t="shared" si="5"/>
        <v>763</v>
      </c>
      <c r="Q50" s="253"/>
      <c r="R50" s="269"/>
      <c r="S50" s="269"/>
      <c r="T50" s="269"/>
      <c r="U50" s="269"/>
      <c r="V50" s="269"/>
      <c r="W50" s="269"/>
      <c r="X50" s="276"/>
      <c r="Y50" s="335"/>
      <c r="Z50" s="277"/>
    </row>
    <row r="51" spans="1:26" s="249" customFormat="1" ht="13.5" customHeight="1" x14ac:dyDescent="0.25">
      <c r="A51" s="266">
        <v>43</v>
      </c>
      <c r="B51" s="267" t="s">
        <v>111</v>
      </c>
      <c r="C51" s="268" t="s">
        <v>112</v>
      </c>
      <c r="D51" s="321">
        <v>208</v>
      </c>
      <c r="E51" s="269">
        <v>0</v>
      </c>
      <c r="F51" s="270">
        <v>30</v>
      </c>
      <c r="G51" s="270">
        <f t="shared" si="6"/>
        <v>0</v>
      </c>
      <c r="H51" s="271"/>
      <c r="I51" s="271"/>
      <c r="J51" s="271"/>
      <c r="K51" s="272">
        <f t="shared" si="4"/>
        <v>238</v>
      </c>
      <c r="L51" s="273">
        <v>0</v>
      </c>
      <c r="M51" s="274">
        <v>0</v>
      </c>
      <c r="N51" s="274">
        <v>0</v>
      </c>
      <c r="O51" s="274">
        <v>0</v>
      </c>
      <c r="P51" s="275">
        <f t="shared" si="5"/>
        <v>0</v>
      </c>
      <c r="Q51" s="253"/>
      <c r="R51" s="269"/>
      <c r="S51" s="269"/>
      <c r="T51" s="269"/>
      <c r="U51" s="269"/>
      <c r="V51" s="269"/>
      <c r="W51" s="269"/>
      <c r="X51" s="276"/>
      <c r="Y51" s="335"/>
      <c r="Z51" s="277"/>
    </row>
    <row r="52" spans="1:26" s="249" customFormat="1" ht="13.5" customHeight="1" x14ac:dyDescent="0.25">
      <c r="A52" s="266">
        <v>44</v>
      </c>
      <c r="B52" s="267" t="s">
        <v>113</v>
      </c>
      <c r="C52" s="268" t="s">
        <v>114</v>
      </c>
      <c r="D52" s="321">
        <v>473</v>
      </c>
      <c r="E52" s="269">
        <v>0</v>
      </c>
      <c r="F52" s="270">
        <v>0</v>
      </c>
      <c r="G52" s="270">
        <f t="shared" si="6"/>
        <v>0</v>
      </c>
      <c r="H52" s="271"/>
      <c r="I52" s="271"/>
      <c r="J52" s="271"/>
      <c r="K52" s="272">
        <f t="shared" si="4"/>
        <v>473</v>
      </c>
      <c r="L52" s="273">
        <v>0</v>
      </c>
      <c r="M52" s="274">
        <v>0</v>
      </c>
      <c r="N52" s="274">
        <v>0</v>
      </c>
      <c r="O52" s="274">
        <v>0</v>
      </c>
      <c r="P52" s="275">
        <f t="shared" si="5"/>
        <v>0</v>
      </c>
      <c r="Q52" s="253"/>
      <c r="R52" s="269"/>
      <c r="S52" s="269"/>
      <c r="T52" s="269"/>
      <c r="U52" s="269"/>
      <c r="V52" s="269"/>
      <c r="W52" s="269"/>
      <c r="X52" s="276"/>
      <c r="Y52" s="335"/>
      <c r="Z52" s="277"/>
    </row>
    <row r="53" spans="1:26" s="249" customFormat="1" ht="13.5" customHeight="1" x14ac:dyDescent="0.25">
      <c r="A53" s="266">
        <v>45</v>
      </c>
      <c r="B53" s="267" t="s">
        <v>115</v>
      </c>
      <c r="C53" s="268" t="s">
        <v>116</v>
      </c>
      <c r="D53" s="321">
        <v>713</v>
      </c>
      <c r="E53" s="269">
        <v>0</v>
      </c>
      <c r="F53" s="270">
        <v>85</v>
      </c>
      <c r="G53" s="270">
        <f t="shared" si="6"/>
        <v>0</v>
      </c>
      <c r="H53" s="271"/>
      <c r="I53" s="271"/>
      <c r="J53" s="271"/>
      <c r="K53" s="272">
        <f t="shared" si="4"/>
        <v>798</v>
      </c>
      <c r="L53" s="273">
        <v>0</v>
      </c>
      <c r="M53" s="274">
        <v>0</v>
      </c>
      <c r="N53" s="274">
        <v>0</v>
      </c>
      <c r="O53" s="274">
        <v>0</v>
      </c>
      <c r="P53" s="275">
        <f t="shared" si="5"/>
        <v>0</v>
      </c>
      <c r="Q53" s="253"/>
      <c r="R53" s="269"/>
      <c r="S53" s="269"/>
      <c r="T53" s="269"/>
      <c r="U53" s="269"/>
      <c r="V53" s="269"/>
      <c r="W53" s="269"/>
      <c r="X53" s="276"/>
      <c r="Y53" s="335"/>
      <c r="Z53" s="277"/>
    </row>
    <row r="54" spans="1:26" s="249" customFormat="1" ht="13.5" customHeight="1" x14ac:dyDescent="0.25">
      <c r="A54" s="266">
        <v>46</v>
      </c>
      <c r="B54" s="267" t="s">
        <v>117</v>
      </c>
      <c r="C54" s="268" t="s">
        <v>118</v>
      </c>
      <c r="D54" s="321">
        <v>2398</v>
      </c>
      <c r="E54" s="269">
        <v>0</v>
      </c>
      <c r="F54" s="270">
        <v>0</v>
      </c>
      <c r="G54" s="270">
        <f t="shared" si="6"/>
        <v>0</v>
      </c>
      <c r="H54" s="271"/>
      <c r="I54" s="271"/>
      <c r="J54" s="271"/>
      <c r="K54" s="272">
        <f t="shared" si="4"/>
        <v>2398</v>
      </c>
      <c r="L54" s="273">
        <v>32</v>
      </c>
      <c r="M54" s="274">
        <v>246</v>
      </c>
      <c r="N54" s="274">
        <v>755</v>
      </c>
      <c r="O54" s="274">
        <v>511</v>
      </c>
      <c r="P54" s="275">
        <f t="shared" si="5"/>
        <v>1544</v>
      </c>
      <c r="Q54" s="253"/>
      <c r="R54" s="269"/>
      <c r="S54" s="269"/>
      <c r="T54" s="269"/>
      <c r="U54" s="269"/>
      <c r="V54" s="269"/>
      <c r="W54" s="269"/>
      <c r="X54" s="276"/>
      <c r="Y54" s="335"/>
      <c r="Z54" s="277"/>
    </row>
    <row r="55" spans="1:26" s="249" customFormat="1" ht="13.5" customHeight="1" x14ac:dyDescent="0.25">
      <c r="A55" s="266">
        <v>47</v>
      </c>
      <c r="B55" s="267" t="s">
        <v>119</v>
      </c>
      <c r="C55" s="268" t="s">
        <v>120</v>
      </c>
      <c r="D55" s="321">
        <v>396</v>
      </c>
      <c r="E55" s="269">
        <v>0</v>
      </c>
      <c r="F55" s="270">
        <v>47</v>
      </c>
      <c r="G55" s="270">
        <f t="shared" si="6"/>
        <v>0</v>
      </c>
      <c r="H55" s="271"/>
      <c r="I55" s="271"/>
      <c r="J55" s="271"/>
      <c r="K55" s="272">
        <f t="shared" si="4"/>
        <v>443</v>
      </c>
      <c r="L55" s="273">
        <v>0</v>
      </c>
      <c r="M55" s="274">
        <v>0</v>
      </c>
      <c r="N55" s="274">
        <v>0</v>
      </c>
      <c r="O55" s="274">
        <v>0</v>
      </c>
      <c r="P55" s="275">
        <f t="shared" si="5"/>
        <v>0</v>
      </c>
      <c r="Q55" s="253"/>
      <c r="R55" s="269"/>
      <c r="S55" s="269"/>
      <c r="T55" s="269"/>
      <c r="U55" s="269"/>
      <c r="V55" s="269"/>
      <c r="W55" s="269"/>
      <c r="X55" s="276"/>
      <c r="Y55" s="335"/>
      <c r="Z55" s="277"/>
    </row>
    <row r="56" spans="1:26" s="249" customFormat="1" ht="13.5" customHeight="1" x14ac:dyDescent="0.25">
      <c r="A56" s="266">
        <v>48</v>
      </c>
      <c r="B56" s="267" t="s">
        <v>127</v>
      </c>
      <c r="C56" s="268" t="s">
        <v>128</v>
      </c>
      <c r="D56" s="321">
        <v>300</v>
      </c>
      <c r="E56" s="269">
        <v>0</v>
      </c>
      <c r="F56" s="270">
        <v>0</v>
      </c>
      <c r="G56" s="270">
        <f t="shared" si="6"/>
        <v>0</v>
      </c>
      <c r="H56" s="271"/>
      <c r="I56" s="271"/>
      <c r="J56" s="271"/>
      <c r="K56" s="272">
        <f t="shared" si="4"/>
        <v>300</v>
      </c>
      <c r="L56" s="273">
        <v>0</v>
      </c>
      <c r="M56" s="274">
        <v>0</v>
      </c>
      <c r="N56" s="274">
        <v>0</v>
      </c>
      <c r="O56" s="274">
        <v>0</v>
      </c>
      <c r="P56" s="275">
        <f t="shared" si="5"/>
        <v>0</v>
      </c>
      <c r="Q56" s="253"/>
      <c r="R56" s="269"/>
      <c r="S56" s="269"/>
      <c r="T56" s="269"/>
      <c r="U56" s="269"/>
      <c r="V56" s="269"/>
      <c r="W56" s="269"/>
      <c r="X56" s="276"/>
      <c r="Y56" s="335"/>
      <c r="Z56" s="277"/>
    </row>
    <row r="57" spans="1:26" s="249" customFormat="1" ht="13.5" customHeight="1" x14ac:dyDescent="0.25">
      <c r="A57" s="266">
        <v>49</v>
      </c>
      <c r="B57" s="267" t="s">
        <v>129</v>
      </c>
      <c r="C57" s="268" t="s">
        <v>460</v>
      </c>
      <c r="D57" s="321">
        <v>600</v>
      </c>
      <c r="E57" s="269">
        <v>0</v>
      </c>
      <c r="F57" s="270">
        <v>0</v>
      </c>
      <c r="G57" s="270">
        <f t="shared" si="6"/>
        <v>0</v>
      </c>
      <c r="H57" s="271"/>
      <c r="I57" s="271"/>
      <c r="J57" s="271"/>
      <c r="K57" s="272">
        <f t="shared" si="4"/>
        <v>600</v>
      </c>
      <c r="L57" s="273">
        <v>0</v>
      </c>
      <c r="M57" s="274">
        <v>0</v>
      </c>
      <c r="N57" s="274">
        <v>0</v>
      </c>
      <c r="O57" s="274">
        <v>0</v>
      </c>
      <c r="P57" s="275">
        <f t="shared" si="5"/>
        <v>0</v>
      </c>
      <c r="Q57" s="253"/>
      <c r="R57" s="269"/>
      <c r="S57" s="269"/>
      <c r="T57" s="269"/>
      <c r="U57" s="269"/>
      <c r="V57" s="269"/>
      <c r="W57" s="269"/>
      <c r="X57" s="276"/>
      <c r="Y57" s="335"/>
      <c r="Z57" s="277"/>
    </row>
    <row r="58" spans="1:26" s="249" customFormat="1" ht="13.5" customHeight="1" x14ac:dyDescent="0.25">
      <c r="A58" s="266">
        <v>50</v>
      </c>
      <c r="B58" s="267" t="s">
        <v>131</v>
      </c>
      <c r="C58" s="268" t="s">
        <v>132</v>
      </c>
      <c r="D58" s="321">
        <v>600</v>
      </c>
      <c r="E58" s="269">
        <v>0</v>
      </c>
      <c r="F58" s="270">
        <v>0</v>
      </c>
      <c r="G58" s="270">
        <f t="shared" si="6"/>
        <v>0</v>
      </c>
      <c r="H58" s="271"/>
      <c r="I58" s="271"/>
      <c r="J58" s="271"/>
      <c r="K58" s="272">
        <f t="shared" si="4"/>
        <v>600</v>
      </c>
      <c r="L58" s="273">
        <v>0</v>
      </c>
      <c r="M58" s="274">
        <v>0</v>
      </c>
      <c r="N58" s="274">
        <v>0</v>
      </c>
      <c r="O58" s="274">
        <v>0</v>
      </c>
      <c r="P58" s="275">
        <f t="shared" si="5"/>
        <v>0</v>
      </c>
      <c r="Q58" s="253"/>
      <c r="R58" s="269"/>
      <c r="S58" s="269"/>
      <c r="T58" s="269"/>
      <c r="U58" s="269"/>
      <c r="V58" s="269"/>
      <c r="W58" s="269"/>
      <c r="X58" s="276"/>
      <c r="Y58" s="335"/>
      <c r="Z58" s="277"/>
    </row>
    <row r="59" spans="1:26" s="249" customFormat="1" ht="13.5" customHeight="1" x14ac:dyDescent="0.25">
      <c r="A59" s="266">
        <v>51</v>
      </c>
      <c r="B59" s="267" t="s">
        <v>133</v>
      </c>
      <c r="C59" s="268" t="s">
        <v>299</v>
      </c>
      <c r="D59" s="321">
        <v>383</v>
      </c>
      <c r="E59" s="269">
        <v>0</v>
      </c>
      <c r="F59" s="270">
        <v>0</v>
      </c>
      <c r="G59" s="270">
        <f t="shared" si="6"/>
        <v>0</v>
      </c>
      <c r="H59" s="271"/>
      <c r="I59" s="271"/>
      <c r="J59" s="271"/>
      <c r="K59" s="272">
        <f t="shared" si="4"/>
        <v>383</v>
      </c>
      <c r="L59" s="273">
        <v>0</v>
      </c>
      <c r="M59" s="274">
        <v>0</v>
      </c>
      <c r="N59" s="274">
        <v>0</v>
      </c>
      <c r="O59" s="274">
        <v>0</v>
      </c>
      <c r="P59" s="275">
        <f t="shared" si="5"/>
        <v>0</v>
      </c>
      <c r="Q59" s="253"/>
      <c r="R59" s="269"/>
      <c r="S59" s="269"/>
      <c r="T59" s="269"/>
      <c r="U59" s="269"/>
      <c r="V59" s="269"/>
      <c r="W59" s="269"/>
      <c r="X59" s="276"/>
      <c r="Y59" s="335"/>
      <c r="Z59" s="277"/>
    </row>
    <row r="60" spans="1:26" s="249" customFormat="1" ht="13.5" customHeight="1" x14ac:dyDescent="0.25">
      <c r="A60" s="266">
        <v>52</v>
      </c>
      <c r="B60" s="267" t="s">
        <v>135</v>
      </c>
      <c r="C60" s="268" t="s">
        <v>462</v>
      </c>
      <c r="D60" s="321">
        <v>500</v>
      </c>
      <c r="E60" s="269">
        <v>0</v>
      </c>
      <c r="F60" s="270">
        <v>0</v>
      </c>
      <c r="G60" s="270">
        <f t="shared" si="6"/>
        <v>0</v>
      </c>
      <c r="H60" s="271"/>
      <c r="I60" s="271"/>
      <c r="J60" s="271"/>
      <c r="K60" s="272">
        <f>D60+E60+F60+G60</f>
        <v>500</v>
      </c>
      <c r="L60" s="273">
        <v>0</v>
      </c>
      <c r="M60" s="274">
        <v>0</v>
      </c>
      <c r="N60" s="274">
        <v>0</v>
      </c>
      <c r="O60" s="274">
        <v>0</v>
      </c>
      <c r="P60" s="275">
        <f>L60+M60+N60+O60</f>
        <v>0</v>
      </c>
      <c r="Q60" s="253"/>
      <c r="R60" s="269"/>
      <c r="S60" s="269"/>
      <c r="T60" s="269"/>
      <c r="U60" s="269"/>
      <c r="V60" s="269"/>
      <c r="W60" s="269"/>
      <c r="X60" s="276"/>
      <c r="Y60" s="335"/>
      <c r="Z60" s="277"/>
    </row>
    <row r="61" spans="1:26" s="249" customFormat="1" ht="13.5" customHeight="1" x14ac:dyDescent="0.25">
      <c r="A61" s="266">
        <v>53</v>
      </c>
      <c r="B61" s="267" t="s">
        <v>141</v>
      </c>
      <c r="C61" s="268" t="s">
        <v>457</v>
      </c>
      <c r="D61" s="321">
        <v>1956</v>
      </c>
      <c r="E61" s="269">
        <v>0</v>
      </c>
      <c r="F61" s="270">
        <v>234</v>
      </c>
      <c r="G61" s="270">
        <f t="shared" si="6"/>
        <v>0</v>
      </c>
      <c r="H61" s="271"/>
      <c r="I61" s="271"/>
      <c r="J61" s="271"/>
      <c r="K61" s="272">
        <f t="shared" si="4"/>
        <v>2190</v>
      </c>
      <c r="L61" s="273">
        <v>0</v>
      </c>
      <c r="M61" s="274">
        <v>0</v>
      </c>
      <c r="N61" s="274">
        <v>0</v>
      </c>
      <c r="O61" s="274">
        <v>0</v>
      </c>
      <c r="P61" s="275">
        <f t="shared" si="5"/>
        <v>0</v>
      </c>
      <c r="Q61" s="253"/>
      <c r="R61" s="269"/>
      <c r="S61" s="269"/>
      <c r="T61" s="269"/>
      <c r="U61" s="269"/>
      <c r="V61" s="269"/>
      <c r="W61" s="269"/>
      <c r="X61" s="276"/>
      <c r="Y61" s="335"/>
      <c r="Z61" s="277"/>
    </row>
    <row r="62" spans="1:26" s="249" customFormat="1" ht="13.5" customHeight="1" x14ac:dyDescent="0.25">
      <c r="A62" s="266">
        <v>54</v>
      </c>
      <c r="B62" s="267" t="s">
        <v>143</v>
      </c>
      <c r="C62" s="268" t="s">
        <v>144</v>
      </c>
      <c r="D62" s="321">
        <v>1228</v>
      </c>
      <c r="E62" s="269">
        <v>0</v>
      </c>
      <c r="F62" s="270">
        <v>0</v>
      </c>
      <c r="G62" s="270">
        <f t="shared" si="6"/>
        <v>0</v>
      </c>
      <c r="H62" s="271"/>
      <c r="I62" s="271"/>
      <c r="J62" s="271"/>
      <c r="K62" s="272">
        <f t="shared" si="4"/>
        <v>1228</v>
      </c>
      <c r="L62" s="273">
        <v>0</v>
      </c>
      <c r="M62" s="274">
        <v>0</v>
      </c>
      <c r="N62" s="274">
        <v>0</v>
      </c>
      <c r="O62" s="274">
        <v>0</v>
      </c>
      <c r="P62" s="275">
        <f t="shared" si="5"/>
        <v>0</v>
      </c>
      <c r="Q62" s="253"/>
      <c r="R62" s="269"/>
      <c r="S62" s="269"/>
      <c r="T62" s="269"/>
      <c r="U62" s="269"/>
      <c r="V62" s="269"/>
      <c r="W62" s="269"/>
      <c r="X62" s="276"/>
      <c r="Y62" s="335"/>
      <c r="Z62" s="277"/>
    </row>
    <row r="63" spans="1:26" s="249" customFormat="1" ht="13.5" customHeight="1" x14ac:dyDescent="0.25">
      <c r="A63" s="266">
        <v>55</v>
      </c>
      <c r="B63" s="267" t="s">
        <v>145</v>
      </c>
      <c r="C63" s="268" t="s">
        <v>458</v>
      </c>
      <c r="D63" s="321">
        <v>2694</v>
      </c>
      <c r="E63" s="269">
        <v>58</v>
      </c>
      <c r="F63" s="270">
        <v>322</v>
      </c>
      <c r="G63" s="270">
        <f t="shared" si="6"/>
        <v>0</v>
      </c>
      <c r="H63" s="271"/>
      <c r="I63" s="271"/>
      <c r="J63" s="271"/>
      <c r="K63" s="272">
        <f t="shared" si="4"/>
        <v>3074</v>
      </c>
      <c r="L63" s="273">
        <v>0</v>
      </c>
      <c r="M63" s="274">
        <v>0</v>
      </c>
      <c r="N63" s="274">
        <v>0</v>
      </c>
      <c r="O63" s="274">
        <v>0</v>
      </c>
      <c r="P63" s="275">
        <f t="shared" si="5"/>
        <v>0</v>
      </c>
      <c r="Q63" s="253"/>
      <c r="R63" s="269"/>
      <c r="S63" s="269"/>
      <c r="T63" s="269"/>
      <c r="U63" s="269"/>
      <c r="V63" s="269"/>
      <c r="W63" s="269"/>
      <c r="X63" s="276"/>
      <c r="Y63" s="335"/>
      <c r="Z63" s="277"/>
    </row>
    <row r="64" spans="1:26" s="249" customFormat="1" ht="13.5" customHeight="1" x14ac:dyDescent="0.25">
      <c r="A64" s="266">
        <v>56</v>
      </c>
      <c r="B64" s="267" t="s">
        <v>161</v>
      </c>
      <c r="C64" s="268" t="s">
        <v>162</v>
      </c>
      <c r="D64" s="321">
        <v>1447</v>
      </c>
      <c r="E64" s="269">
        <v>31</v>
      </c>
      <c r="F64" s="270">
        <v>173</v>
      </c>
      <c r="G64" s="270">
        <f t="shared" si="6"/>
        <v>0</v>
      </c>
      <c r="H64" s="271"/>
      <c r="I64" s="271"/>
      <c r="J64" s="271"/>
      <c r="K64" s="272">
        <f t="shared" si="4"/>
        <v>1651</v>
      </c>
      <c r="L64" s="273">
        <v>0</v>
      </c>
      <c r="M64" s="274">
        <v>0</v>
      </c>
      <c r="N64" s="274">
        <v>0</v>
      </c>
      <c r="O64" s="274">
        <v>0</v>
      </c>
      <c r="P64" s="275">
        <f t="shared" si="5"/>
        <v>0</v>
      </c>
      <c r="Q64" s="253"/>
      <c r="R64" s="269"/>
      <c r="S64" s="269"/>
      <c r="T64" s="269"/>
      <c r="U64" s="269"/>
      <c r="V64" s="269"/>
      <c r="W64" s="269"/>
      <c r="X64" s="276"/>
      <c r="Y64" s="335"/>
      <c r="Z64" s="277"/>
    </row>
    <row r="65" spans="1:26" s="249" customFormat="1" ht="13.5" customHeight="1" x14ac:dyDescent="0.25">
      <c r="A65" s="266">
        <v>57</v>
      </c>
      <c r="B65" s="267" t="s">
        <v>163</v>
      </c>
      <c r="C65" s="268" t="s">
        <v>459</v>
      </c>
      <c r="D65" s="321">
        <v>1812</v>
      </c>
      <c r="E65" s="269">
        <v>78</v>
      </c>
      <c r="F65" s="270">
        <v>433</v>
      </c>
      <c r="G65" s="270">
        <f t="shared" si="6"/>
        <v>0</v>
      </c>
      <c r="H65" s="271"/>
      <c r="I65" s="271"/>
      <c r="J65" s="271"/>
      <c r="K65" s="272">
        <f t="shared" si="4"/>
        <v>2323</v>
      </c>
      <c r="L65" s="273">
        <v>0</v>
      </c>
      <c r="M65" s="274">
        <v>0</v>
      </c>
      <c r="N65" s="274">
        <v>0</v>
      </c>
      <c r="O65" s="274">
        <v>0</v>
      </c>
      <c r="P65" s="275">
        <f t="shared" si="5"/>
        <v>0</v>
      </c>
      <c r="Q65" s="253"/>
      <c r="R65" s="269"/>
      <c r="S65" s="269"/>
      <c r="T65" s="269"/>
      <c r="U65" s="269"/>
      <c r="V65" s="269"/>
      <c r="W65" s="269"/>
      <c r="X65" s="276"/>
      <c r="Y65" s="335"/>
      <c r="Z65" s="277"/>
    </row>
    <row r="66" spans="1:26" s="249" customFormat="1" ht="13.5" customHeight="1" x14ac:dyDescent="0.25">
      <c r="A66" s="266">
        <v>58</v>
      </c>
      <c r="B66" s="267" t="s">
        <v>165</v>
      </c>
      <c r="C66" s="268" t="s">
        <v>166</v>
      </c>
      <c r="D66" s="321">
        <v>2121</v>
      </c>
      <c r="E66" s="269">
        <v>45</v>
      </c>
      <c r="F66" s="270">
        <v>253</v>
      </c>
      <c r="G66" s="270">
        <f t="shared" si="6"/>
        <v>316</v>
      </c>
      <c r="H66" s="271">
        <v>286</v>
      </c>
      <c r="I66" s="271">
        <v>0</v>
      </c>
      <c r="J66" s="271">
        <v>30</v>
      </c>
      <c r="K66" s="272">
        <f t="shared" si="4"/>
        <v>2735</v>
      </c>
      <c r="L66" s="273">
        <v>0</v>
      </c>
      <c r="M66" s="274">
        <v>0</v>
      </c>
      <c r="N66" s="274">
        <v>0</v>
      </c>
      <c r="O66" s="274">
        <v>0</v>
      </c>
      <c r="P66" s="275">
        <f t="shared" si="5"/>
        <v>0</v>
      </c>
      <c r="Q66" s="253"/>
      <c r="R66" s="269"/>
      <c r="S66" s="269"/>
      <c r="T66" s="269"/>
      <c r="U66" s="269"/>
      <c r="V66" s="269"/>
      <c r="W66" s="269"/>
      <c r="X66" s="276"/>
      <c r="Y66" s="335"/>
      <c r="Z66" s="277"/>
    </row>
    <row r="67" spans="1:26" s="249" customFormat="1" ht="13.5" customHeight="1" x14ac:dyDescent="0.25">
      <c r="A67" s="266">
        <v>59</v>
      </c>
      <c r="B67" s="267" t="s">
        <v>167</v>
      </c>
      <c r="C67" s="268" t="s">
        <v>168</v>
      </c>
      <c r="D67" s="321">
        <v>619</v>
      </c>
      <c r="E67" s="269">
        <v>0</v>
      </c>
      <c r="F67" s="270">
        <v>0</v>
      </c>
      <c r="G67" s="270">
        <f t="shared" si="6"/>
        <v>0</v>
      </c>
      <c r="H67" s="279"/>
      <c r="I67" s="279"/>
      <c r="J67" s="279"/>
      <c r="K67" s="272">
        <f t="shared" si="4"/>
        <v>619</v>
      </c>
      <c r="L67" s="273">
        <v>0</v>
      </c>
      <c r="M67" s="274">
        <v>0</v>
      </c>
      <c r="N67" s="274">
        <v>0</v>
      </c>
      <c r="O67" s="274">
        <v>0</v>
      </c>
      <c r="P67" s="275">
        <f t="shared" si="5"/>
        <v>0</v>
      </c>
      <c r="Q67" s="253"/>
      <c r="R67" s="269"/>
      <c r="S67" s="269"/>
      <c r="T67" s="269"/>
      <c r="U67" s="269"/>
      <c r="V67" s="269"/>
      <c r="W67" s="269"/>
      <c r="X67" s="276"/>
      <c r="Y67" s="335"/>
      <c r="Z67" s="277"/>
    </row>
    <row r="68" spans="1:26" s="249" customFormat="1" ht="13.5" customHeight="1" x14ac:dyDescent="0.25">
      <c r="A68" s="266">
        <v>60</v>
      </c>
      <c r="B68" s="267" t="s">
        <v>169</v>
      </c>
      <c r="C68" s="268" t="s">
        <v>170</v>
      </c>
      <c r="D68" s="321">
        <v>4455</v>
      </c>
      <c r="E68" s="269">
        <v>95</v>
      </c>
      <c r="F68" s="270">
        <v>581</v>
      </c>
      <c r="G68" s="270">
        <f t="shared" si="6"/>
        <v>624</v>
      </c>
      <c r="H68" s="271">
        <v>432</v>
      </c>
      <c r="I68" s="271">
        <v>62</v>
      </c>
      <c r="J68" s="271">
        <v>130</v>
      </c>
      <c r="K68" s="272">
        <f t="shared" si="4"/>
        <v>5755</v>
      </c>
      <c r="L68" s="273">
        <v>420</v>
      </c>
      <c r="M68" s="274">
        <v>1759</v>
      </c>
      <c r="N68" s="274">
        <v>3965</v>
      </c>
      <c r="O68" s="274">
        <v>2686</v>
      </c>
      <c r="P68" s="275">
        <f t="shared" si="5"/>
        <v>8830</v>
      </c>
      <c r="Q68" s="253"/>
      <c r="R68" s="269"/>
      <c r="S68" s="269"/>
      <c r="T68" s="269"/>
      <c r="U68" s="269"/>
      <c r="V68" s="269"/>
      <c r="W68" s="269"/>
      <c r="X68" s="276"/>
      <c r="Y68" s="335"/>
      <c r="Z68" s="277"/>
    </row>
    <row r="69" spans="1:26" s="249" customFormat="1" ht="13.5" customHeight="1" x14ac:dyDescent="0.25">
      <c r="A69" s="266">
        <v>61</v>
      </c>
      <c r="B69" s="267" t="s">
        <v>171</v>
      </c>
      <c r="C69" s="268" t="s">
        <v>172</v>
      </c>
      <c r="D69" s="321">
        <v>603</v>
      </c>
      <c r="E69" s="269">
        <v>0</v>
      </c>
      <c r="F69" s="270">
        <v>0</v>
      </c>
      <c r="G69" s="270">
        <f t="shared" si="6"/>
        <v>0</v>
      </c>
      <c r="H69" s="271"/>
      <c r="I69" s="271"/>
      <c r="J69" s="271"/>
      <c r="K69" s="272">
        <f t="shared" si="4"/>
        <v>603</v>
      </c>
      <c r="L69" s="273">
        <v>0</v>
      </c>
      <c r="M69" s="274">
        <v>0</v>
      </c>
      <c r="N69" s="274">
        <v>0</v>
      </c>
      <c r="O69" s="274">
        <v>0</v>
      </c>
      <c r="P69" s="275">
        <f t="shared" si="5"/>
        <v>0</v>
      </c>
      <c r="Q69" s="253"/>
      <c r="R69" s="269"/>
      <c r="S69" s="269"/>
      <c r="T69" s="269"/>
      <c r="U69" s="269"/>
      <c r="V69" s="269"/>
      <c r="W69" s="269"/>
      <c r="X69" s="276"/>
      <c r="Y69" s="335"/>
      <c r="Z69" s="277"/>
    </row>
    <row r="70" spans="1:26" s="249" customFormat="1" ht="13.5" customHeight="1" x14ac:dyDescent="0.25">
      <c r="A70" s="266">
        <v>62</v>
      </c>
      <c r="B70" s="267" t="s">
        <v>173</v>
      </c>
      <c r="C70" s="268" t="s">
        <v>622</v>
      </c>
      <c r="D70" s="321">
        <v>2016</v>
      </c>
      <c r="E70" s="269">
        <v>0</v>
      </c>
      <c r="F70" s="270">
        <v>334</v>
      </c>
      <c r="G70" s="270">
        <f t="shared" si="6"/>
        <v>849</v>
      </c>
      <c r="H70" s="271">
        <v>729</v>
      </c>
      <c r="I70" s="271">
        <v>0</v>
      </c>
      <c r="J70" s="271">
        <v>120</v>
      </c>
      <c r="K70" s="272">
        <f t="shared" si="4"/>
        <v>3199</v>
      </c>
      <c r="L70" s="273">
        <v>0</v>
      </c>
      <c r="M70" s="274">
        <v>0</v>
      </c>
      <c r="N70" s="274">
        <v>0</v>
      </c>
      <c r="O70" s="274">
        <v>0</v>
      </c>
      <c r="P70" s="275">
        <f t="shared" si="5"/>
        <v>0</v>
      </c>
      <c r="Q70" s="253"/>
      <c r="R70" s="269"/>
      <c r="S70" s="269"/>
      <c r="T70" s="269"/>
      <c r="U70" s="269"/>
      <c r="V70" s="269"/>
      <c r="W70" s="269"/>
      <c r="X70" s="276"/>
      <c r="Y70" s="335"/>
      <c r="Z70" s="277"/>
    </row>
    <row r="71" spans="1:26" s="249" customFormat="1" ht="13.5" customHeight="1" x14ac:dyDescent="0.25">
      <c r="A71" s="266">
        <v>63</v>
      </c>
      <c r="B71" s="267" t="s">
        <v>178</v>
      </c>
      <c r="C71" s="268" t="s">
        <v>324</v>
      </c>
      <c r="D71" s="321">
        <v>160</v>
      </c>
      <c r="E71" s="269">
        <v>6</v>
      </c>
      <c r="F71" s="270">
        <v>19</v>
      </c>
      <c r="G71" s="270">
        <f t="shared" si="6"/>
        <v>0</v>
      </c>
      <c r="H71" s="271"/>
      <c r="I71" s="271"/>
      <c r="J71" s="271"/>
      <c r="K71" s="272">
        <f t="shared" si="4"/>
        <v>185</v>
      </c>
      <c r="L71" s="273">
        <v>0</v>
      </c>
      <c r="M71" s="274">
        <v>0</v>
      </c>
      <c r="N71" s="274">
        <v>0</v>
      </c>
      <c r="O71" s="274">
        <v>0</v>
      </c>
      <c r="P71" s="275">
        <f t="shared" si="5"/>
        <v>0</v>
      </c>
      <c r="Q71" s="253"/>
      <c r="R71" s="269"/>
      <c r="S71" s="269"/>
      <c r="T71" s="269"/>
      <c r="U71" s="269"/>
      <c r="V71" s="269"/>
      <c r="W71" s="269"/>
      <c r="X71" s="276"/>
      <c r="Y71" s="335"/>
      <c r="Z71" s="277"/>
    </row>
    <row r="72" spans="1:26" s="249" customFormat="1" ht="13.5" customHeight="1" x14ac:dyDescent="0.25">
      <c r="A72" s="266">
        <v>64</v>
      </c>
      <c r="B72" s="267" t="s">
        <v>183</v>
      </c>
      <c r="C72" s="268" t="s">
        <v>184</v>
      </c>
      <c r="D72" s="321">
        <v>128</v>
      </c>
      <c r="E72" s="269">
        <v>0</v>
      </c>
      <c r="F72" s="270">
        <v>0</v>
      </c>
      <c r="G72" s="270">
        <f t="shared" si="6"/>
        <v>0</v>
      </c>
      <c r="H72" s="271"/>
      <c r="I72" s="271"/>
      <c r="J72" s="271"/>
      <c r="K72" s="272">
        <f t="shared" si="4"/>
        <v>128</v>
      </c>
      <c r="L72" s="273">
        <v>0</v>
      </c>
      <c r="M72" s="274">
        <v>0</v>
      </c>
      <c r="N72" s="274">
        <v>0</v>
      </c>
      <c r="O72" s="274">
        <v>0</v>
      </c>
      <c r="P72" s="275">
        <f t="shared" si="5"/>
        <v>0</v>
      </c>
      <c r="Q72" s="253"/>
      <c r="R72" s="269"/>
      <c r="S72" s="269"/>
      <c r="T72" s="269"/>
      <c r="U72" s="269"/>
      <c r="V72" s="269"/>
      <c r="W72" s="269"/>
      <c r="X72" s="276"/>
      <c r="Y72" s="335"/>
      <c r="Z72" s="277"/>
    </row>
    <row r="73" spans="1:26" s="249" customFormat="1" ht="13.5" customHeight="1" x14ac:dyDescent="0.25">
      <c r="A73" s="266">
        <v>65</v>
      </c>
      <c r="B73" s="267" t="s">
        <v>185</v>
      </c>
      <c r="C73" s="268" t="s">
        <v>186</v>
      </c>
      <c r="D73" s="321">
        <v>2362</v>
      </c>
      <c r="E73" s="269">
        <v>25</v>
      </c>
      <c r="F73" s="270">
        <v>210</v>
      </c>
      <c r="G73" s="270">
        <f t="shared" si="6"/>
        <v>356</v>
      </c>
      <c r="H73" s="271">
        <v>272</v>
      </c>
      <c r="I73" s="271">
        <v>34</v>
      </c>
      <c r="J73" s="271">
        <v>50</v>
      </c>
      <c r="K73" s="272">
        <f t="shared" ref="K73:K91" si="7">D73+E73+F73+G73</f>
        <v>2953</v>
      </c>
      <c r="L73" s="273">
        <v>0</v>
      </c>
      <c r="M73" s="274">
        <v>0</v>
      </c>
      <c r="N73" s="274">
        <v>0</v>
      </c>
      <c r="O73" s="274">
        <v>0</v>
      </c>
      <c r="P73" s="275">
        <f t="shared" ref="P73:P84" si="8">L73+M73+N73+O73</f>
        <v>0</v>
      </c>
      <c r="Q73" s="253"/>
      <c r="R73" s="269"/>
      <c r="S73" s="269"/>
      <c r="T73" s="269"/>
      <c r="U73" s="269"/>
      <c r="V73" s="269"/>
      <c r="W73" s="269"/>
      <c r="X73" s="276"/>
      <c r="Y73" s="335"/>
      <c r="Z73" s="277"/>
    </row>
    <row r="74" spans="1:26" s="249" customFormat="1" ht="13.5" customHeight="1" x14ac:dyDescent="0.25">
      <c r="A74" s="266">
        <v>66</v>
      </c>
      <c r="B74" s="267" t="s">
        <v>187</v>
      </c>
      <c r="C74" s="268" t="s">
        <v>188</v>
      </c>
      <c r="D74" s="321">
        <v>331</v>
      </c>
      <c r="E74" s="269">
        <v>7</v>
      </c>
      <c r="F74" s="270">
        <v>0</v>
      </c>
      <c r="G74" s="270">
        <f t="shared" si="6"/>
        <v>0</v>
      </c>
      <c r="H74" s="271"/>
      <c r="I74" s="271"/>
      <c r="J74" s="271"/>
      <c r="K74" s="272">
        <f t="shared" si="7"/>
        <v>338</v>
      </c>
      <c r="L74" s="273">
        <v>0</v>
      </c>
      <c r="M74" s="274">
        <v>0</v>
      </c>
      <c r="N74" s="274">
        <v>0</v>
      </c>
      <c r="O74" s="274">
        <v>0</v>
      </c>
      <c r="P74" s="275">
        <f t="shared" si="8"/>
        <v>0</v>
      </c>
      <c r="Q74" s="253"/>
      <c r="R74" s="269"/>
      <c r="S74" s="269"/>
      <c r="T74" s="269"/>
      <c r="U74" s="269"/>
      <c r="V74" s="269"/>
      <c r="W74" s="269"/>
      <c r="X74" s="276"/>
      <c r="Y74" s="335"/>
      <c r="Z74" s="281"/>
    </row>
    <row r="75" spans="1:26" s="249" customFormat="1" ht="13.5" customHeight="1" x14ac:dyDescent="0.25">
      <c r="A75" s="266">
        <v>67</v>
      </c>
      <c r="B75" s="267" t="s">
        <v>189</v>
      </c>
      <c r="C75" s="268" t="s">
        <v>190</v>
      </c>
      <c r="D75" s="321">
        <v>328</v>
      </c>
      <c r="E75" s="269">
        <v>0</v>
      </c>
      <c r="F75" s="270">
        <v>39</v>
      </c>
      <c r="G75" s="270">
        <f t="shared" si="6"/>
        <v>0</v>
      </c>
      <c r="H75" s="270"/>
      <c r="I75" s="278"/>
      <c r="J75" s="278"/>
      <c r="K75" s="272">
        <f t="shared" si="7"/>
        <v>367</v>
      </c>
      <c r="L75" s="273">
        <v>0</v>
      </c>
      <c r="M75" s="274">
        <v>0</v>
      </c>
      <c r="N75" s="274">
        <v>0</v>
      </c>
      <c r="O75" s="274">
        <v>0</v>
      </c>
      <c r="P75" s="275">
        <f t="shared" si="8"/>
        <v>0</v>
      </c>
      <c r="Q75" s="253"/>
      <c r="R75" s="269"/>
      <c r="S75" s="269"/>
      <c r="T75" s="269"/>
      <c r="U75" s="269"/>
      <c r="V75" s="269"/>
      <c r="W75" s="269"/>
      <c r="X75" s="276"/>
      <c r="Y75" s="335"/>
      <c r="Z75" s="281"/>
    </row>
    <row r="76" spans="1:26" s="249" customFormat="1" ht="13.5" customHeight="1" x14ac:dyDescent="0.25">
      <c r="A76" s="266">
        <v>68</v>
      </c>
      <c r="B76" s="267" t="s">
        <v>191</v>
      </c>
      <c r="C76" s="268" t="s">
        <v>192</v>
      </c>
      <c r="D76" s="321">
        <v>907</v>
      </c>
      <c r="E76" s="269">
        <v>0</v>
      </c>
      <c r="F76" s="270">
        <v>108</v>
      </c>
      <c r="G76" s="270">
        <f t="shared" si="6"/>
        <v>0</v>
      </c>
      <c r="H76" s="270"/>
      <c r="I76" s="278"/>
      <c r="J76" s="278"/>
      <c r="K76" s="272">
        <f t="shared" si="7"/>
        <v>1015</v>
      </c>
      <c r="L76" s="273">
        <v>0</v>
      </c>
      <c r="M76" s="274">
        <v>0</v>
      </c>
      <c r="N76" s="274">
        <v>0</v>
      </c>
      <c r="O76" s="274">
        <v>0</v>
      </c>
      <c r="P76" s="275">
        <f t="shared" si="8"/>
        <v>0</v>
      </c>
      <c r="Q76" s="253"/>
      <c r="R76" s="269"/>
      <c r="S76" s="269"/>
      <c r="T76" s="269"/>
      <c r="U76" s="269"/>
      <c r="V76" s="269"/>
      <c r="W76" s="269"/>
      <c r="X76" s="276"/>
      <c r="Y76" s="335"/>
      <c r="Z76" s="281"/>
    </row>
    <row r="77" spans="1:26" s="249" customFormat="1" ht="13.5" customHeight="1" x14ac:dyDescent="0.25">
      <c r="A77" s="266">
        <v>69</v>
      </c>
      <c r="B77" s="267" t="s">
        <v>193</v>
      </c>
      <c r="C77" s="268" t="s">
        <v>194</v>
      </c>
      <c r="D77" s="321">
        <v>393</v>
      </c>
      <c r="E77" s="269">
        <v>8</v>
      </c>
      <c r="F77" s="270">
        <v>47</v>
      </c>
      <c r="G77" s="270">
        <f t="shared" si="6"/>
        <v>0</v>
      </c>
      <c r="H77" s="270"/>
      <c r="I77" s="278"/>
      <c r="J77" s="278"/>
      <c r="K77" s="272">
        <f t="shared" si="7"/>
        <v>448</v>
      </c>
      <c r="L77" s="273">
        <v>0</v>
      </c>
      <c r="M77" s="274">
        <v>0</v>
      </c>
      <c r="N77" s="274">
        <v>0</v>
      </c>
      <c r="O77" s="274">
        <v>0</v>
      </c>
      <c r="P77" s="275">
        <f t="shared" si="8"/>
        <v>0</v>
      </c>
      <c r="Q77" s="253"/>
      <c r="R77" s="269"/>
      <c r="S77" s="269"/>
      <c r="T77" s="269"/>
      <c r="U77" s="269"/>
      <c r="V77" s="269"/>
      <c r="W77" s="269"/>
      <c r="X77" s="276"/>
      <c r="Y77" s="335"/>
      <c r="Z77" s="281"/>
    </row>
    <row r="78" spans="1:26" s="249" customFormat="1" ht="13.5" customHeight="1" x14ac:dyDescent="0.25">
      <c r="A78" s="266">
        <v>70</v>
      </c>
      <c r="B78" s="267" t="s">
        <v>195</v>
      </c>
      <c r="C78" s="268" t="s">
        <v>196</v>
      </c>
      <c r="D78" s="321">
        <v>510</v>
      </c>
      <c r="E78" s="269">
        <v>11</v>
      </c>
      <c r="F78" s="270">
        <v>0</v>
      </c>
      <c r="G78" s="270">
        <f t="shared" ref="G78:G96" si="9">H78+I78+J78</f>
        <v>0</v>
      </c>
      <c r="H78" s="279"/>
      <c r="I78" s="279"/>
      <c r="J78" s="279"/>
      <c r="K78" s="272">
        <f t="shared" si="7"/>
        <v>521</v>
      </c>
      <c r="L78" s="273">
        <v>0</v>
      </c>
      <c r="M78" s="274">
        <v>0</v>
      </c>
      <c r="N78" s="274">
        <v>0</v>
      </c>
      <c r="O78" s="274">
        <v>0</v>
      </c>
      <c r="P78" s="275">
        <f t="shared" si="8"/>
        <v>0</v>
      </c>
      <c r="Q78" s="253"/>
      <c r="R78" s="269"/>
      <c r="S78" s="269"/>
      <c r="T78" s="269"/>
      <c r="U78" s="269"/>
      <c r="V78" s="269"/>
      <c r="W78" s="269"/>
      <c r="X78" s="276"/>
      <c r="Y78" s="335"/>
      <c r="Z78" s="281"/>
    </row>
    <row r="79" spans="1:26" s="249" customFormat="1" ht="13.5" customHeight="1" x14ac:dyDescent="0.25">
      <c r="A79" s="266">
        <v>71</v>
      </c>
      <c r="B79" s="267" t="s">
        <v>197</v>
      </c>
      <c r="C79" s="268" t="s">
        <v>198</v>
      </c>
      <c r="D79" s="321">
        <v>0</v>
      </c>
      <c r="E79" s="269">
        <v>0</v>
      </c>
      <c r="F79" s="270">
        <v>0</v>
      </c>
      <c r="G79" s="270">
        <f t="shared" si="9"/>
        <v>0</v>
      </c>
      <c r="H79" s="271"/>
      <c r="I79" s="271"/>
      <c r="J79" s="271"/>
      <c r="K79" s="272">
        <f t="shared" si="7"/>
        <v>0</v>
      </c>
      <c r="L79" s="273">
        <v>0</v>
      </c>
      <c r="M79" s="274">
        <v>0</v>
      </c>
      <c r="N79" s="274">
        <v>0</v>
      </c>
      <c r="O79" s="274">
        <v>0</v>
      </c>
      <c r="P79" s="275">
        <f t="shared" si="8"/>
        <v>0</v>
      </c>
      <c r="Q79" s="253"/>
      <c r="R79" s="269"/>
      <c r="S79" s="269"/>
      <c r="T79" s="269"/>
      <c r="U79" s="269"/>
      <c r="V79" s="269"/>
      <c r="W79" s="269"/>
      <c r="X79" s="276"/>
      <c r="Y79" s="335"/>
      <c r="Z79" s="281"/>
    </row>
    <row r="80" spans="1:26" s="249" customFormat="1" ht="13.5" customHeight="1" x14ac:dyDescent="0.25">
      <c r="A80" s="266">
        <v>72</v>
      </c>
      <c r="B80" s="267" t="s">
        <v>199</v>
      </c>
      <c r="C80" s="268" t="s">
        <v>200</v>
      </c>
      <c r="D80" s="321">
        <v>866</v>
      </c>
      <c r="E80" s="269">
        <v>0</v>
      </c>
      <c r="F80" s="270">
        <v>0</v>
      </c>
      <c r="G80" s="270">
        <f t="shared" si="9"/>
        <v>0</v>
      </c>
      <c r="H80" s="271"/>
      <c r="I80" s="271"/>
      <c r="J80" s="271"/>
      <c r="K80" s="272">
        <f t="shared" si="7"/>
        <v>866</v>
      </c>
      <c r="L80" s="273">
        <v>0</v>
      </c>
      <c r="M80" s="274">
        <v>0</v>
      </c>
      <c r="N80" s="274">
        <v>0</v>
      </c>
      <c r="O80" s="274">
        <v>0</v>
      </c>
      <c r="P80" s="275">
        <f t="shared" si="8"/>
        <v>0</v>
      </c>
      <c r="Q80" s="253"/>
      <c r="R80" s="269"/>
      <c r="S80" s="269"/>
      <c r="T80" s="269"/>
      <c r="U80" s="269"/>
      <c r="V80" s="269"/>
      <c r="W80" s="269"/>
      <c r="X80" s="276"/>
      <c r="Y80" s="335"/>
      <c r="Z80" s="281"/>
    </row>
    <row r="81" spans="1:26" s="249" customFormat="1" ht="13.5" customHeight="1" x14ac:dyDescent="0.25">
      <c r="A81" s="266">
        <v>73</v>
      </c>
      <c r="B81" s="267" t="s">
        <v>201</v>
      </c>
      <c r="C81" s="268" t="s">
        <v>202</v>
      </c>
      <c r="D81" s="321">
        <v>301</v>
      </c>
      <c r="E81" s="269">
        <v>6</v>
      </c>
      <c r="F81" s="270">
        <v>36</v>
      </c>
      <c r="G81" s="270">
        <f t="shared" si="9"/>
        <v>0</v>
      </c>
      <c r="H81" s="271"/>
      <c r="I81" s="271"/>
      <c r="J81" s="271"/>
      <c r="K81" s="272">
        <f t="shared" si="7"/>
        <v>343</v>
      </c>
      <c r="L81" s="273">
        <v>0</v>
      </c>
      <c r="M81" s="274">
        <v>0</v>
      </c>
      <c r="N81" s="274">
        <v>0</v>
      </c>
      <c r="O81" s="274">
        <v>0</v>
      </c>
      <c r="P81" s="275">
        <f t="shared" si="8"/>
        <v>0</v>
      </c>
      <c r="Q81" s="253"/>
      <c r="R81" s="269"/>
      <c r="S81" s="269"/>
      <c r="T81" s="269"/>
      <c r="U81" s="269"/>
      <c r="V81" s="269"/>
      <c r="W81" s="269"/>
      <c r="X81" s="276"/>
      <c r="Y81" s="335"/>
      <c r="Z81" s="281"/>
    </row>
    <row r="82" spans="1:26" s="249" customFormat="1" ht="13.5" customHeight="1" x14ac:dyDescent="0.25">
      <c r="A82" s="266">
        <v>74</v>
      </c>
      <c r="B82" s="267" t="s">
        <v>203</v>
      </c>
      <c r="C82" s="268" t="s">
        <v>204</v>
      </c>
      <c r="D82" s="321">
        <v>470</v>
      </c>
      <c r="E82" s="269">
        <v>0</v>
      </c>
      <c r="F82" s="270">
        <v>0</v>
      </c>
      <c r="G82" s="270">
        <f t="shared" si="9"/>
        <v>0</v>
      </c>
      <c r="H82" s="271"/>
      <c r="I82" s="271"/>
      <c r="J82" s="271"/>
      <c r="K82" s="272">
        <f t="shared" si="7"/>
        <v>470</v>
      </c>
      <c r="L82" s="273">
        <v>0</v>
      </c>
      <c r="M82" s="274">
        <v>0</v>
      </c>
      <c r="N82" s="274">
        <v>0</v>
      </c>
      <c r="O82" s="274">
        <v>0</v>
      </c>
      <c r="P82" s="275">
        <f t="shared" si="8"/>
        <v>0</v>
      </c>
      <c r="Q82" s="253"/>
      <c r="R82" s="269"/>
      <c r="S82" s="269"/>
      <c r="T82" s="269"/>
      <c r="U82" s="269"/>
      <c r="V82" s="269"/>
      <c r="W82" s="269"/>
      <c r="X82" s="276"/>
      <c r="Y82" s="335"/>
      <c r="Z82" s="281"/>
    </row>
    <row r="83" spans="1:26" s="249" customFormat="1" ht="13.5" customHeight="1" x14ac:dyDescent="0.25">
      <c r="A83" s="266">
        <v>75</v>
      </c>
      <c r="B83" s="267" t="s">
        <v>205</v>
      </c>
      <c r="C83" s="268" t="s">
        <v>206</v>
      </c>
      <c r="D83" s="321">
        <v>445</v>
      </c>
      <c r="E83" s="269">
        <v>10</v>
      </c>
      <c r="F83" s="270">
        <v>53</v>
      </c>
      <c r="G83" s="270">
        <f t="shared" si="9"/>
        <v>0</v>
      </c>
      <c r="H83" s="271"/>
      <c r="I83" s="271"/>
      <c r="J83" s="271"/>
      <c r="K83" s="272">
        <f t="shared" si="7"/>
        <v>508</v>
      </c>
      <c r="L83" s="273">
        <v>0</v>
      </c>
      <c r="M83" s="274">
        <v>0</v>
      </c>
      <c r="N83" s="274">
        <v>0</v>
      </c>
      <c r="O83" s="274">
        <v>0</v>
      </c>
      <c r="P83" s="275">
        <f t="shared" si="8"/>
        <v>0</v>
      </c>
      <c r="Q83" s="253"/>
      <c r="R83" s="269"/>
      <c r="S83" s="269"/>
      <c r="T83" s="269"/>
      <c r="U83" s="269"/>
      <c r="V83" s="269"/>
      <c r="W83" s="269"/>
      <c r="X83" s="276"/>
      <c r="Y83" s="335"/>
      <c r="Z83" s="281"/>
    </row>
    <row r="84" spans="1:26" s="249" customFormat="1" ht="13.5" customHeight="1" x14ac:dyDescent="0.25">
      <c r="A84" s="266">
        <v>76</v>
      </c>
      <c r="B84" s="267" t="s">
        <v>207</v>
      </c>
      <c r="C84" s="268" t="s">
        <v>208</v>
      </c>
      <c r="D84" s="321">
        <v>514</v>
      </c>
      <c r="E84" s="269">
        <v>18</v>
      </c>
      <c r="F84" s="270">
        <v>61</v>
      </c>
      <c r="G84" s="270">
        <f t="shared" si="9"/>
        <v>289</v>
      </c>
      <c r="H84" s="271">
        <v>220</v>
      </c>
      <c r="I84" s="271">
        <v>28</v>
      </c>
      <c r="J84" s="271">
        <v>41</v>
      </c>
      <c r="K84" s="272">
        <f t="shared" si="7"/>
        <v>882</v>
      </c>
      <c r="L84" s="273">
        <v>0</v>
      </c>
      <c r="M84" s="274">
        <v>0</v>
      </c>
      <c r="N84" s="274">
        <v>0</v>
      </c>
      <c r="O84" s="274">
        <v>0</v>
      </c>
      <c r="P84" s="275">
        <f t="shared" si="8"/>
        <v>0</v>
      </c>
      <c r="Q84" s="253"/>
      <c r="R84" s="269"/>
      <c r="S84" s="269"/>
      <c r="T84" s="269"/>
      <c r="U84" s="269"/>
      <c r="V84" s="269"/>
      <c r="W84" s="269"/>
      <c r="X84" s="276"/>
      <c r="Y84" s="335"/>
      <c r="Z84" s="281"/>
    </row>
    <row r="85" spans="1:26" s="249" customFormat="1" ht="13.5" customHeight="1" x14ac:dyDescent="0.25">
      <c r="A85" s="266">
        <v>77</v>
      </c>
      <c r="B85" s="267" t="s">
        <v>209</v>
      </c>
      <c r="C85" s="268" t="s">
        <v>210</v>
      </c>
      <c r="D85" s="321">
        <v>348</v>
      </c>
      <c r="E85" s="269">
        <v>0</v>
      </c>
      <c r="F85" s="270">
        <v>0</v>
      </c>
      <c r="G85" s="270">
        <f t="shared" si="9"/>
        <v>0</v>
      </c>
      <c r="H85" s="271"/>
      <c r="I85" s="271"/>
      <c r="J85" s="271"/>
      <c r="K85" s="272">
        <f t="shared" si="7"/>
        <v>348</v>
      </c>
      <c r="L85" s="273"/>
      <c r="M85" s="274"/>
      <c r="N85" s="274"/>
      <c r="O85" s="274"/>
      <c r="P85" s="275"/>
      <c r="Q85" s="253"/>
      <c r="R85" s="269"/>
      <c r="S85" s="269"/>
      <c r="T85" s="269"/>
      <c r="U85" s="269"/>
      <c r="V85" s="269"/>
      <c r="W85" s="269"/>
      <c r="X85" s="276"/>
      <c r="Y85" s="335"/>
      <c r="Z85" s="281"/>
    </row>
    <row r="86" spans="1:26" s="249" customFormat="1" ht="13.5" customHeight="1" x14ac:dyDescent="0.25">
      <c r="A86" s="266">
        <v>78</v>
      </c>
      <c r="B86" s="268" t="s">
        <v>211</v>
      </c>
      <c r="C86" s="282" t="s">
        <v>212</v>
      </c>
      <c r="D86" s="321">
        <v>519</v>
      </c>
      <c r="E86" s="269">
        <v>12</v>
      </c>
      <c r="F86" s="270">
        <v>62</v>
      </c>
      <c r="G86" s="270">
        <f t="shared" si="9"/>
        <v>0</v>
      </c>
      <c r="H86" s="271"/>
      <c r="I86" s="271"/>
      <c r="J86" s="271"/>
      <c r="K86" s="272">
        <f t="shared" si="7"/>
        <v>593</v>
      </c>
      <c r="L86" s="273">
        <v>0</v>
      </c>
      <c r="M86" s="274">
        <v>0</v>
      </c>
      <c r="N86" s="274">
        <v>0</v>
      </c>
      <c r="O86" s="274">
        <v>0</v>
      </c>
      <c r="P86" s="275">
        <f t="shared" ref="P86:P91" si="10">L86+M86+N86+O86</f>
        <v>0</v>
      </c>
      <c r="Q86" s="253"/>
      <c r="R86" s="269"/>
      <c r="S86" s="269"/>
      <c r="T86" s="269"/>
      <c r="U86" s="269"/>
      <c r="V86" s="269"/>
      <c r="W86" s="269"/>
      <c r="X86" s="276"/>
      <c r="Y86" s="335"/>
      <c r="Z86" s="281"/>
    </row>
    <row r="87" spans="1:26" s="249" customFormat="1" ht="13.5" customHeight="1" x14ac:dyDescent="0.25">
      <c r="A87" s="266">
        <v>79</v>
      </c>
      <c r="B87" s="267" t="s">
        <v>213</v>
      </c>
      <c r="C87" s="268" t="s">
        <v>214</v>
      </c>
      <c r="D87" s="321">
        <v>896</v>
      </c>
      <c r="E87" s="269">
        <v>19</v>
      </c>
      <c r="F87" s="270">
        <v>107</v>
      </c>
      <c r="G87" s="270">
        <f t="shared" si="9"/>
        <v>0</v>
      </c>
      <c r="H87" s="271"/>
      <c r="I87" s="271"/>
      <c r="J87" s="271"/>
      <c r="K87" s="272">
        <f t="shared" si="7"/>
        <v>1022</v>
      </c>
      <c r="L87" s="273">
        <v>0</v>
      </c>
      <c r="M87" s="274">
        <v>0</v>
      </c>
      <c r="N87" s="274">
        <v>0</v>
      </c>
      <c r="O87" s="274">
        <v>0</v>
      </c>
      <c r="P87" s="275">
        <f t="shared" si="10"/>
        <v>0</v>
      </c>
      <c r="Q87" s="253"/>
      <c r="R87" s="269"/>
      <c r="S87" s="269"/>
      <c r="T87" s="269"/>
      <c r="U87" s="269"/>
      <c r="V87" s="269"/>
      <c r="W87" s="269"/>
      <c r="X87" s="276"/>
      <c r="Y87" s="335"/>
      <c r="Z87" s="281"/>
    </row>
    <row r="88" spans="1:26" s="249" customFormat="1" ht="13.5" customHeight="1" x14ac:dyDescent="0.25">
      <c r="A88" s="266">
        <v>80</v>
      </c>
      <c r="B88" s="267" t="s">
        <v>215</v>
      </c>
      <c r="C88" s="268" t="s">
        <v>216</v>
      </c>
      <c r="D88" s="321">
        <v>410</v>
      </c>
      <c r="E88" s="269">
        <v>0</v>
      </c>
      <c r="F88" s="270">
        <v>0</v>
      </c>
      <c r="G88" s="270">
        <f t="shared" si="9"/>
        <v>0</v>
      </c>
      <c r="H88" s="271"/>
      <c r="I88" s="271"/>
      <c r="J88" s="271"/>
      <c r="K88" s="272">
        <f t="shared" si="7"/>
        <v>410</v>
      </c>
      <c r="L88" s="273">
        <v>0</v>
      </c>
      <c r="M88" s="274">
        <v>0</v>
      </c>
      <c r="N88" s="274">
        <v>0</v>
      </c>
      <c r="O88" s="274">
        <v>0</v>
      </c>
      <c r="P88" s="275">
        <f t="shared" si="10"/>
        <v>0</v>
      </c>
      <c r="Q88" s="253"/>
      <c r="R88" s="269"/>
      <c r="S88" s="269"/>
      <c r="T88" s="269"/>
      <c r="U88" s="269"/>
      <c r="V88" s="269"/>
      <c r="W88" s="269"/>
      <c r="X88" s="276"/>
      <c r="Y88" s="335"/>
      <c r="Z88" s="281"/>
    </row>
    <row r="89" spans="1:26" s="249" customFormat="1" ht="13.5" customHeight="1" x14ac:dyDescent="0.25">
      <c r="A89" s="266">
        <v>81</v>
      </c>
      <c r="B89" s="267" t="s">
        <v>258</v>
      </c>
      <c r="C89" s="268" t="s">
        <v>681</v>
      </c>
      <c r="D89" s="321">
        <v>2000</v>
      </c>
      <c r="E89" s="269">
        <v>307</v>
      </c>
      <c r="F89" s="270">
        <v>727</v>
      </c>
      <c r="G89" s="270">
        <f t="shared" si="9"/>
        <v>570</v>
      </c>
      <c r="H89" s="271">
        <v>458</v>
      </c>
      <c r="I89" s="271">
        <v>54</v>
      </c>
      <c r="J89" s="271">
        <v>58</v>
      </c>
      <c r="K89" s="272">
        <f t="shared" si="7"/>
        <v>3604</v>
      </c>
      <c r="L89" s="273">
        <v>300</v>
      </c>
      <c r="M89" s="274">
        <v>1124</v>
      </c>
      <c r="N89" s="274">
        <v>3891</v>
      </c>
      <c r="O89" s="274">
        <v>2636</v>
      </c>
      <c r="P89" s="275">
        <f t="shared" si="10"/>
        <v>7951</v>
      </c>
      <c r="Q89" s="253"/>
      <c r="R89" s="269"/>
      <c r="S89" s="269"/>
      <c r="T89" s="269"/>
      <c r="U89" s="269"/>
      <c r="V89" s="269"/>
      <c r="W89" s="269"/>
      <c r="X89" s="276"/>
      <c r="Y89" s="335"/>
      <c r="Z89" s="281"/>
    </row>
    <row r="90" spans="1:26" s="249" customFormat="1" ht="13.5" customHeight="1" x14ac:dyDescent="0.25">
      <c r="A90" s="266">
        <v>82</v>
      </c>
      <c r="B90" s="267" t="s">
        <v>260</v>
      </c>
      <c r="C90" s="268" t="s">
        <v>261</v>
      </c>
      <c r="D90" s="321">
        <v>3900</v>
      </c>
      <c r="E90" s="269">
        <v>3000</v>
      </c>
      <c r="F90" s="270">
        <v>2250</v>
      </c>
      <c r="G90" s="270">
        <f t="shared" si="9"/>
        <v>1597</v>
      </c>
      <c r="H90" s="271">
        <v>789</v>
      </c>
      <c r="I90" s="271">
        <v>90</v>
      </c>
      <c r="J90" s="271">
        <v>718</v>
      </c>
      <c r="K90" s="272">
        <f t="shared" si="7"/>
        <v>10747</v>
      </c>
      <c r="L90" s="273">
        <v>180</v>
      </c>
      <c r="M90" s="274">
        <v>160</v>
      </c>
      <c r="N90" s="274">
        <v>6374</v>
      </c>
      <c r="O90" s="274">
        <v>4318</v>
      </c>
      <c r="P90" s="275">
        <f t="shared" si="10"/>
        <v>11032</v>
      </c>
      <c r="Q90" s="253"/>
      <c r="R90" s="269"/>
      <c r="S90" s="269"/>
      <c r="T90" s="269"/>
      <c r="U90" s="269"/>
      <c r="V90" s="269"/>
      <c r="W90" s="269"/>
      <c r="X90" s="276"/>
      <c r="Y90" s="335"/>
      <c r="Z90" s="281"/>
    </row>
    <row r="91" spans="1:26" s="249" customFormat="1" ht="13.5" customHeight="1" x14ac:dyDescent="0.25">
      <c r="A91" s="266">
        <v>83</v>
      </c>
      <c r="B91" s="267" t="s">
        <v>264</v>
      </c>
      <c r="C91" s="268" t="s">
        <v>265</v>
      </c>
      <c r="D91" s="321">
        <v>2270</v>
      </c>
      <c r="E91" s="269">
        <v>0</v>
      </c>
      <c r="F91" s="270">
        <v>0</v>
      </c>
      <c r="G91" s="270">
        <f t="shared" si="9"/>
        <v>0</v>
      </c>
      <c r="H91" s="271"/>
      <c r="I91" s="271"/>
      <c r="J91" s="271"/>
      <c r="K91" s="272">
        <f t="shared" si="7"/>
        <v>2270</v>
      </c>
      <c r="L91" s="273">
        <v>0</v>
      </c>
      <c r="M91" s="274">
        <v>0</v>
      </c>
      <c r="N91" s="274">
        <v>0</v>
      </c>
      <c r="O91" s="274">
        <v>0</v>
      </c>
      <c r="P91" s="275">
        <f t="shared" si="10"/>
        <v>0</v>
      </c>
      <c r="Q91" s="253"/>
      <c r="R91" s="269"/>
      <c r="S91" s="269"/>
      <c r="T91" s="269"/>
      <c r="U91" s="269"/>
      <c r="V91" s="269"/>
      <c r="W91" s="269"/>
      <c r="X91" s="276"/>
      <c r="Y91" s="335"/>
      <c r="Z91" s="281"/>
    </row>
    <row r="92" spans="1:26" s="249" customFormat="1" ht="13.5" customHeight="1" x14ac:dyDescent="0.25">
      <c r="A92" s="266">
        <v>84</v>
      </c>
      <c r="B92" s="267" t="s">
        <v>270</v>
      </c>
      <c r="C92" s="268" t="s">
        <v>271</v>
      </c>
      <c r="D92" s="321">
        <v>0</v>
      </c>
      <c r="E92" s="269">
        <v>0</v>
      </c>
      <c r="F92" s="270">
        <v>0</v>
      </c>
      <c r="G92" s="270">
        <f t="shared" si="9"/>
        <v>0</v>
      </c>
      <c r="H92" s="271"/>
      <c r="I92" s="271"/>
      <c r="J92" s="271"/>
      <c r="K92" s="272">
        <v>0</v>
      </c>
      <c r="L92" s="273">
        <v>0</v>
      </c>
      <c r="M92" s="274">
        <v>0</v>
      </c>
      <c r="N92" s="274">
        <v>0</v>
      </c>
      <c r="O92" s="274">
        <v>0</v>
      </c>
      <c r="P92" s="275">
        <v>0</v>
      </c>
      <c r="Q92" s="253">
        <v>183</v>
      </c>
      <c r="R92" s="269">
        <v>479</v>
      </c>
      <c r="S92" s="269">
        <v>290</v>
      </c>
      <c r="T92" s="269">
        <v>290</v>
      </c>
      <c r="U92" s="269">
        <v>393</v>
      </c>
      <c r="V92" s="269">
        <v>1050</v>
      </c>
      <c r="W92" s="269">
        <v>1119</v>
      </c>
      <c r="X92" s="276">
        <v>10</v>
      </c>
      <c r="Y92" s="335">
        <v>3814</v>
      </c>
      <c r="Z92" s="281"/>
    </row>
    <row r="93" spans="1:26" s="249" customFormat="1" ht="13.5" customHeight="1" x14ac:dyDescent="0.25">
      <c r="A93" s="266">
        <v>85</v>
      </c>
      <c r="B93" s="283" t="s">
        <v>272</v>
      </c>
      <c r="C93" s="284" t="s">
        <v>273</v>
      </c>
      <c r="D93" s="321">
        <v>777</v>
      </c>
      <c r="E93" s="269">
        <v>0</v>
      </c>
      <c r="F93" s="270">
        <v>0</v>
      </c>
      <c r="G93" s="270">
        <f t="shared" si="9"/>
        <v>0</v>
      </c>
      <c r="H93" s="271"/>
      <c r="I93" s="271"/>
      <c r="J93" s="271"/>
      <c r="K93" s="272">
        <f>D93+E93+F93+G93</f>
        <v>777</v>
      </c>
      <c r="L93" s="273">
        <v>0</v>
      </c>
      <c r="M93" s="274">
        <v>0</v>
      </c>
      <c r="N93" s="274">
        <v>0</v>
      </c>
      <c r="O93" s="274">
        <v>0</v>
      </c>
      <c r="P93" s="275">
        <f>L93+M93+N93+O93</f>
        <v>0</v>
      </c>
      <c r="Q93" s="253"/>
      <c r="R93" s="269"/>
      <c r="S93" s="269"/>
      <c r="T93" s="269"/>
      <c r="U93" s="269"/>
      <c r="V93" s="269"/>
      <c r="W93" s="269"/>
      <c r="X93" s="276"/>
      <c r="Y93" s="335"/>
      <c r="Z93" s="281"/>
    </row>
    <row r="94" spans="1:26" s="249" customFormat="1" ht="13.5" customHeight="1" x14ac:dyDescent="0.25">
      <c r="A94" s="266">
        <v>86</v>
      </c>
      <c r="B94" s="267" t="s">
        <v>274</v>
      </c>
      <c r="C94" s="268" t="s">
        <v>275</v>
      </c>
      <c r="D94" s="321">
        <v>1560</v>
      </c>
      <c r="E94" s="269">
        <v>0</v>
      </c>
      <c r="F94" s="270">
        <v>0</v>
      </c>
      <c r="G94" s="270">
        <f t="shared" si="9"/>
        <v>0</v>
      </c>
      <c r="H94" s="271"/>
      <c r="I94" s="271"/>
      <c r="J94" s="271"/>
      <c r="K94" s="272">
        <f>D94+E94+F94+G94</f>
        <v>1560</v>
      </c>
      <c r="L94" s="273">
        <v>0</v>
      </c>
      <c r="M94" s="274">
        <v>0</v>
      </c>
      <c r="N94" s="274">
        <v>0</v>
      </c>
      <c r="O94" s="274">
        <v>0</v>
      </c>
      <c r="P94" s="275">
        <f>L94+M94+N94+O94</f>
        <v>0</v>
      </c>
      <c r="Q94" s="253"/>
      <c r="R94" s="269"/>
      <c r="S94" s="269"/>
      <c r="T94" s="269"/>
      <c r="U94" s="269"/>
      <c r="V94" s="269"/>
      <c r="W94" s="269"/>
      <c r="X94" s="276"/>
      <c r="Y94" s="335"/>
      <c r="Z94" s="281"/>
    </row>
    <row r="95" spans="1:26" s="249" customFormat="1" ht="13.5" customHeight="1" x14ac:dyDescent="0.25">
      <c r="A95" s="266">
        <v>87</v>
      </c>
      <c r="B95" s="267" t="s">
        <v>276</v>
      </c>
      <c r="C95" s="268" t="s">
        <v>277</v>
      </c>
      <c r="D95" s="321">
        <v>1533</v>
      </c>
      <c r="E95" s="269">
        <v>59</v>
      </c>
      <c r="F95" s="270">
        <v>275</v>
      </c>
      <c r="G95" s="270">
        <f t="shared" si="9"/>
        <v>0</v>
      </c>
      <c r="H95" s="271"/>
      <c r="I95" s="271"/>
      <c r="J95" s="271"/>
      <c r="K95" s="272">
        <f>D95+E95+F95+G95</f>
        <v>1867</v>
      </c>
      <c r="L95" s="273">
        <v>0</v>
      </c>
      <c r="M95" s="274">
        <v>0</v>
      </c>
      <c r="N95" s="274">
        <v>0</v>
      </c>
      <c r="O95" s="274">
        <v>0</v>
      </c>
      <c r="P95" s="275">
        <f>L95+M95+N95+O95</f>
        <v>0</v>
      </c>
      <c r="Q95" s="253"/>
      <c r="R95" s="269"/>
      <c r="S95" s="269"/>
      <c r="T95" s="269"/>
      <c r="U95" s="269"/>
      <c r="V95" s="269"/>
      <c r="W95" s="269"/>
      <c r="X95" s="276"/>
      <c r="Y95" s="335"/>
      <c r="Z95" s="281"/>
    </row>
    <row r="96" spans="1:26" s="249" customFormat="1" ht="13.5" customHeight="1" thickBot="1" x14ac:dyDescent="0.3">
      <c r="A96" s="325">
        <v>88</v>
      </c>
      <c r="B96" s="326" t="s">
        <v>278</v>
      </c>
      <c r="C96" s="327" t="s">
        <v>279</v>
      </c>
      <c r="D96" s="321">
        <v>2303</v>
      </c>
      <c r="E96" s="269">
        <v>91</v>
      </c>
      <c r="F96" s="270">
        <v>275</v>
      </c>
      <c r="G96" s="270">
        <f t="shared" si="9"/>
        <v>547</v>
      </c>
      <c r="H96" s="329">
        <v>375</v>
      </c>
      <c r="I96" s="329">
        <v>50</v>
      </c>
      <c r="J96" s="329">
        <v>122</v>
      </c>
      <c r="K96" s="330">
        <f>D96+E96+F96+G96</f>
        <v>3216</v>
      </c>
      <c r="L96" s="331">
        <v>100</v>
      </c>
      <c r="M96" s="332">
        <v>950</v>
      </c>
      <c r="N96" s="332">
        <v>2508</v>
      </c>
      <c r="O96" s="332">
        <v>1007</v>
      </c>
      <c r="P96" s="333">
        <f>L96+M96+N96+O96</f>
        <v>4565</v>
      </c>
      <c r="Q96" s="336"/>
      <c r="R96" s="328"/>
      <c r="S96" s="328"/>
      <c r="T96" s="328"/>
      <c r="U96" s="328"/>
      <c r="V96" s="328"/>
      <c r="W96" s="328"/>
      <c r="X96" s="337"/>
      <c r="Y96" s="338"/>
      <c r="Z96" s="281"/>
    </row>
    <row r="97" spans="1:25" s="249" customFormat="1" ht="13.5" customHeight="1" x14ac:dyDescent="0.25">
      <c r="A97" s="285"/>
      <c r="B97" s="285"/>
      <c r="C97" s="286"/>
      <c r="D97" s="285"/>
      <c r="E97" s="285"/>
      <c r="F97" s="287"/>
      <c r="G97" s="287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</row>
    <row r="98" spans="1:25" s="249" customFormat="1" ht="13.5" customHeight="1" x14ac:dyDescent="0.25">
      <c r="A98" s="288"/>
      <c r="B98" s="288"/>
      <c r="C98" s="243"/>
      <c r="D98" s="285"/>
      <c r="E98" s="285"/>
      <c r="F98" s="289"/>
      <c r="G98" s="289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</row>
    <row r="99" spans="1:25" s="288" customFormat="1" x14ac:dyDescent="0.25">
      <c r="C99" s="243"/>
      <c r="F99" s="289"/>
      <c r="G99" s="289"/>
    </row>
    <row r="100" spans="1:25" s="288" customFormat="1" x14ac:dyDescent="0.25">
      <c r="C100" s="243"/>
      <c r="F100" s="289"/>
      <c r="G100" s="289"/>
    </row>
    <row r="101" spans="1:25" s="288" customFormat="1" x14ac:dyDescent="0.25">
      <c r="C101" s="243"/>
      <c r="F101" s="289"/>
      <c r="G101" s="289"/>
    </row>
    <row r="102" spans="1:25" s="288" customFormat="1" x14ac:dyDescent="0.25">
      <c r="C102" s="243"/>
      <c r="F102" s="289"/>
      <c r="G102" s="289"/>
    </row>
    <row r="103" spans="1:25" s="288" customFormat="1" x14ac:dyDescent="0.25">
      <c r="C103" s="243"/>
      <c r="F103" s="289"/>
      <c r="G103" s="289"/>
    </row>
    <row r="104" spans="1:25" s="288" customFormat="1" x14ac:dyDescent="0.25">
      <c r="C104" s="243"/>
      <c r="F104" s="289"/>
      <c r="G104" s="289"/>
    </row>
    <row r="105" spans="1:25" s="288" customFormat="1" x14ac:dyDescent="0.25">
      <c r="C105" s="243"/>
      <c r="F105" s="289"/>
      <c r="G105" s="289"/>
    </row>
    <row r="106" spans="1:25" s="288" customFormat="1" x14ac:dyDescent="0.25">
      <c r="C106" s="243"/>
      <c r="F106" s="289"/>
      <c r="G106" s="289"/>
    </row>
    <row r="107" spans="1:25" s="288" customFormat="1" x14ac:dyDescent="0.25">
      <c r="C107" s="243"/>
      <c r="F107" s="289"/>
      <c r="G107" s="289"/>
    </row>
    <row r="108" spans="1:25" s="288" customFormat="1" x14ac:dyDescent="0.25">
      <c r="C108" s="243"/>
      <c r="F108" s="289"/>
      <c r="G108" s="289"/>
    </row>
    <row r="109" spans="1:25" s="288" customFormat="1" x14ac:dyDescent="0.25">
      <c r="C109" s="243"/>
      <c r="F109" s="289"/>
      <c r="G109" s="289"/>
    </row>
    <row r="110" spans="1:25" s="288" customFormat="1" x14ac:dyDescent="0.25">
      <c r="C110" s="243"/>
      <c r="F110" s="289"/>
      <c r="G110" s="289"/>
    </row>
    <row r="111" spans="1:25" s="288" customFormat="1" x14ac:dyDescent="0.25">
      <c r="C111" s="243"/>
      <c r="F111" s="289"/>
      <c r="G111" s="289"/>
    </row>
    <row r="112" spans="1:25" s="288" customFormat="1" x14ac:dyDescent="0.25">
      <c r="C112" s="243"/>
      <c r="F112" s="289"/>
      <c r="G112" s="289"/>
    </row>
    <row r="113" spans="3:7" s="288" customFormat="1" x14ac:dyDescent="0.25">
      <c r="C113" s="243"/>
      <c r="F113" s="289"/>
      <c r="G113" s="289"/>
    </row>
    <row r="114" spans="3:7" s="288" customFormat="1" x14ac:dyDescent="0.25">
      <c r="C114" s="243"/>
      <c r="F114" s="289"/>
      <c r="G114" s="289"/>
    </row>
    <row r="115" spans="3:7" s="288" customFormat="1" x14ac:dyDescent="0.25">
      <c r="C115" s="243"/>
      <c r="F115" s="289"/>
      <c r="G115" s="289"/>
    </row>
    <row r="116" spans="3:7" s="288" customFormat="1" x14ac:dyDescent="0.25">
      <c r="C116" s="243"/>
      <c r="F116" s="289"/>
      <c r="G116" s="289"/>
    </row>
    <row r="117" spans="3:7" s="288" customFormat="1" x14ac:dyDescent="0.25">
      <c r="C117" s="243"/>
      <c r="F117" s="289"/>
      <c r="G117" s="289"/>
    </row>
    <row r="118" spans="3:7" s="288" customFormat="1" x14ac:dyDescent="0.25">
      <c r="C118" s="243"/>
      <c r="F118" s="289"/>
      <c r="G118" s="289"/>
    </row>
    <row r="119" spans="3:7" s="288" customFormat="1" x14ac:dyDescent="0.25">
      <c r="C119" s="243"/>
      <c r="F119" s="289"/>
      <c r="G119" s="289"/>
    </row>
    <row r="120" spans="3:7" s="288" customFormat="1" x14ac:dyDescent="0.25">
      <c r="C120" s="243"/>
      <c r="F120" s="289"/>
      <c r="G120" s="289"/>
    </row>
    <row r="121" spans="3:7" s="288" customFormat="1" x14ac:dyDescent="0.25">
      <c r="C121" s="243"/>
      <c r="F121" s="289"/>
      <c r="G121" s="289"/>
    </row>
    <row r="122" spans="3:7" s="288" customFormat="1" x14ac:dyDescent="0.25">
      <c r="C122" s="243"/>
      <c r="F122" s="289"/>
      <c r="G122" s="289"/>
    </row>
    <row r="123" spans="3:7" s="288" customFormat="1" x14ac:dyDescent="0.25">
      <c r="C123" s="243"/>
      <c r="F123" s="289"/>
      <c r="G123" s="289"/>
    </row>
    <row r="124" spans="3:7" s="288" customFormat="1" x14ac:dyDescent="0.25">
      <c r="C124" s="243"/>
      <c r="F124" s="289"/>
      <c r="G124" s="289"/>
    </row>
    <row r="125" spans="3:7" s="288" customFormat="1" x14ac:dyDescent="0.25">
      <c r="C125" s="243"/>
      <c r="F125" s="289"/>
      <c r="G125" s="289"/>
    </row>
    <row r="126" spans="3:7" s="288" customFormat="1" x14ac:dyDescent="0.25">
      <c r="C126" s="243"/>
      <c r="F126" s="289"/>
      <c r="G126" s="289"/>
    </row>
    <row r="127" spans="3:7" s="288" customFormat="1" x14ac:dyDescent="0.25">
      <c r="C127" s="243"/>
      <c r="F127" s="289"/>
      <c r="G127" s="289"/>
    </row>
    <row r="128" spans="3:7" s="288" customFormat="1" x14ac:dyDescent="0.25">
      <c r="C128" s="243"/>
      <c r="F128" s="289"/>
      <c r="G128" s="289"/>
    </row>
    <row r="129" spans="3:7" s="288" customFormat="1" x14ac:dyDescent="0.25">
      <c r="C129" s="243"/>
      <c r="F129" s="289"/>
      <c r="G129" s="289"/>
    </row>
    <row r="130" spans="3:7" s="288" customFormat="1" x14ac:dyDescent="0.25">
      <c r="C130" s="243"/>
      <c r="F130" s="289"/>
      <c r="G130" s="289"/>
    </row>
    <row r="131" spans="3:7" s="288" customFormat="1" x14ac:dyDescent="0.25">
      <c r="C131" s="243"/>
      <c r="F131" s="289"/>
      <c r="G131" s="289"/>
    </row>
    <row r="132" spans="3:7" s="288" customFormat="1" x14ac:dyDescent="0.25">
      <c r="C132" s="243"/>
      <c r="F132" s="289"/>
      <c r="G132" s="289"/>
    </row>
    <row r="133" spans="3:7" s="288" customFormat="1" x14ac:dyDescent="0.25">
      <c r="C133" s="243"/>
      <c r="F133" s="289"/>
      <c r="G133" s="289"/>
    </row>
    <row r="134" spans="3:7" s="288" customFormat="1" x14ac:dyDescent="0.25">
      <c r="C134" s="243"/>
      <c r="F134" s="289"/>
      <c r="G134" s="289"/>
    </row>
    <row r="135" spans="3:7" s="288" customFormat="1" x14ac:dyDescent="0.25">
      <c r="C135" s="243"/>
      <c r="F135" s="289"/>
      <c r="G135" s="289"/>
    </row>
    <row r="136" spans="3:7" s="288" customFormat="1" x14ac:dyDescent="0.25">
      <c r="C136" s="243"/>
      <c r="F136" s="289"/>
      <c r="G136" s="289"/>
    </row>
    <row r="137" spans="3:7" s="288" customFormat="1" x14ac:dyDescent="0.25">
      <c r="C137" s="243"/>
      <c r="F137" s="289"/>
      <c r="G137" s="289"/>
    </row>
    <row r="138" spans="3:7" s="288" customFormat="1" x14ac:dyDescent="0.25">
      <c r="C138" s="243"/>
      <c r="F138" s="289"/>
      <c r="G138" s="289"/>
    </row>
    <row r="139" spans="3:7" s="288" customFormat="1" x14ac:dyDescent="0.25">
      <c r="C139" s="243"/>
      <c r="F139" s="289"/>
      <c r="G139" s="289"/>
    </row>
    <row r="140" spans="3:7" s="288" customFormat="1" x14ac:dyDescent="0.25">
      <c r="C140" s="243"/>
      <c r="F140" s="289"/>
      <c r="G140" s="289"/>
    </row>
    <row r="141" spans="3:7" s="288" customFormat="1" x14ac:dyDescent="0.25">
      <c r="C141" s="243"/>
      <c r="F141" s="289"/>
      <c r="G141" s="289"/>
    </row>
    <row r="142" spans="3:7" s="288" customFormat="1" x14ac:dyDescent="0.25">
      <c r="C142" s="243"/>
      <c r="F142" s="289"/>
      <c r="G142" s="289"/>
    </row>
    <row r="143" spans="3:7" s="288" customFormat="1" x14ac:dyDescent="0.25">
      <c r="C143" s="243"/>
      <c r="F143" s="289"/>
      <c r="G143" s="289"/>
    </row>
    <row r="144" spans="3:7" s="288" customFormat="1" x14ac:dyDescent="0.25">
      <c r="C144" s="243"/>
      <c r="F144" s="289"/>
      <c r="G144" s="289"/>
    </row>
    <row r="145" spans="3:7" s="288" customFormat="1" x14ac:dyDescent="0.25">
      <c r="C145" s="243"/>
      <c r="F145" s="289"/>
      <c r="G145" s="289"/>
    </row>
    <row r="146" spans="3:7" s="288" customFormat="1" x14ac:dyDescent="0.25">
      <c r="C146" s="243"/>
      <c r="F146" s="289"/>
      <c r="G146" s="289"/>
    </row>
    <row r="147" spans="3:7" s="288" customFormat="1" x14ac:dyDescent="0.25">
      <c r="C147" s="243"/>
      <c r="F147" s="289"/>
      <c r="G147" s="289"/>
    </row>
    <row r="148" spans="3:7" s="288" customFormat="1" x14ac:dyDescent="0.25">
      <c r="C148" s="243"/>
      <c r="F148" s="289"/>
      <c r="G148" s="289"/>
    </row>
    <row r="149" spans="3:7" s="288" customFormat="1" x14ac:dyDescent="0.25">
      <c r="C149" s="243"/>
      <c r="F149" s="289"/>
      <c r="G149" s="289"/>
    </row>
    <row r="150" spans="3:7" s="288" customFormat="1" x14ac:dyDescent="0.25">
      <c r="C150" s="243"/>
      <c r="F150" s="289"/>
      <c r="G150" s="289"/>
    </row>
    <row r="151" spans="3:7" s="288" customFormat="1" x14ac:dyDescent="0.25">
      <c r="C151" s="243"/>
      <c r="F151" s="289"/>
      <c r="G151" s="289"/>
    </row>
    <row r="152" spans="3:7" s="288" customFormat="1" x14ac:dyDescent="0.25">
      <c r="C152" s="243"/>
      <c r="F152" s="289"/>
      <c r="G152" s="289"/>
    </row>
    <row r="153" spans="3:7" s="288" customFormat="1" x14ac:dyDescent="0.25">
      <c r="C153" s="243"/>
      <c r="F153" s="289"/>
      <c r="G153" s="289"/>
    </row>
    <row r="154" spans="3:7" s="288" customFormat="1" x14ac:dyDescent="0.25">
      <c r="C154" s="243"/>
      <c r="F154" s="289"/>
      <c r="G154" s="289"/>
    </row>
    <row r="155" spans="3:7" s="288" customFormat="1" x14ac:dyDescent="0.25">
      <c r="C155" s="243"/>
      <c r="F155" s="289"/>
      <c r="G155" s="289"/>
    </row>
    <row r="156" spans="3:7" s="288" customFormat="1" x14ac:dyDescent="0.25">
      <c r="C156" s="243"/>
      <c r="F156" s="289"/>
      <c r="G156" s="289"/>
    </row>
    <row r="157" spans="3:7" s="288" customFormat="1" x14ac:dyDescent="0.25">
      <c r="C157" s="243"/>
      <c r="F157" s="289"/>
      <c r="G157" s="289"/>
    </row>
    <row r="158" spans="3:7" s="288" customFormat="1" x14ac:dyDescent="0.25">
      <c r="C158" s="243"/>
      <c r="F158" s="289"/>
      <c r="G158" s="289"/>
    </row>
    <row r="159" spans="3:7" s="288" customFormat="1" x14ac:dyDescent="0.25">
      <c r="C159" s="243"/>
      <c r="F159" s="289"/>
      <c r="G159" s="289"/>
    </row>
    <row r="160" spans="3:7" s="288" customFormat="1" x14ac:dyDescent="0.25">
      <c r="C160" s="243"/>
      <c r="F160" s="289"/>
      <c r="G160" s="289"/>
    </row>
    <row r="161" spans="3:7" s="288" customFormat="1" x14ac:dyDescent="0.25">
      <c r="C161" s="243"/>
      <c r="F161" s="289"/>
      <c r="G161" s="289"/>
    </row>
    <row r="162" spans="3:7" s="288" customFormat="1" x14ac:dyDescent="0.25">
      <c r="C162" s="243"/>
      <c r="F162" s="289"/>
      <c r="G162" s="289"/>
    </row>
    <row r="163" spans="3:7" s="288" customFormat="1" x14ac:dyDescent="0.25">
      <c r="C163" s="243"/>
      <c r="F163" s="289"/>
      <c r="G163" s="289"/>
    </row>
    <row r="164" spans="3:7" s="288" customFormat="1" x14ac:dyDescent="0.25">
      <c r="C164" s="243"/>
      <c r="F164" s="289"/>
      <c r="G164" s="289"/>
    </row>
    <row r="165" spans="3:7" s="288" customFormat="1" x14ac:dyDescent="0.25">
      <c r="C165" s="243"/>
      <c r="F165" s="289"/>
      <c r="G165" s="289"/>
    </row>
    <row r="166" spans="3:7" s="288" customFormat="1" x14ac:dyDescent="0.25">
      <c r="C166" s="243"/>
      <c r="F166" s="289"/>
      <c r="G166" s="289"/>
    </row>
    <row r="167" spans="3:7" s="288" customFormat="1" x14ac:dyDescent="0.25">
      <c r="C167" s="243"/>
      <c r="F167" s="289"/>
      <c r="G167" s="289"/>
    </row>
    <row r="168" spans="3:7" s="288" customFormat="1" x14ac:dyDescent="0.25">
      <c r="C168" s="243"/>
      <c r="F168" s="289"/>
      <c r="G168" s="289"/>
    </row>
    <row r="169" spans="3:7" s="288" customFormat="1" x14ac:dyDescent="0.25">
      <c r="C169" s="243"/>
      <c r="F169" s="289"/>
      <c r="G169" s="289"/>
    </row>
    <row r="170" spans="3:7" s="288" customFormat="1" x14ac:dyDescent="0.25">
      <c r="C170" s="243"/>
      <c r="F170" s="289"/>
      <c r="G170" s="289"/>
    </row>
    <row r="171" spans="3:7" s="288" customFormat="1" x14ac:dyDescent="0.25">
      <c r="C171" s="243"/>
      <c r="F171" s="289"/>
      <c r="G171" s="289"/>
    </row>
    <row r="172" spans="3:7" s="288" customFormat="1" x14ac:dyDescent="0.25">
      <c r="C172" s="243"/>
      <c r="F172" s="289"/>
      <c r="G172" s="289"/>
    </row>
    <row r="173" spans="3:7" s="288" customFormat="1" x14ac:dyDescent="0.25">
      <c r="C173" s="243"/>
      <c r="F173" s="289"/>
      <c r="G173" s="289"/>
    </row>
    <row r="174" spans="3:7" s="288" customFormat="1" x14ac:dyDescent="0.25">
      <c r="C174" s="243"/>
      <c r="F174" s="289"/>
      <c r="G174" s="289"/>
    </row>
    <row r="175" spans="3:7" s="288" customFormat="1" x14ac:dyDescent="0.25">
      <c r="C175" s="243"/>
      <c r="F175" s="289"/>
      <c r="G175" s="289"/>
    </row>
    <row r="176" spans="3:7" s="288" customFormat="1" x14ac:dyDescent="0.25">
      <c r="C176" s="243"/>
      <c r="F176" s="289"/>
      <c r="G176" s="289"/>
    </row>
    <row r="177" spans="3:7" s="288" customFormat="1" x14ac:dyDescent="0.25">
      <c r="C177" s="243"/>
      <c r="F177" s="289"/>
      <c r="G177" s="289"/>
    </row>
    <row r="178" spans="3:7" s="288" customFormat="1" x14ac:dyDescent="0.25">
      <c r="C178" s="243"/>
      <c r="F178" s="289"/>
      <c r="G178" s="289"/>
    </row>
    <row r="179" spans="3:7" s="288" customFormat="1" x14ac:dyDescent="0.25">
      <c r="C179" s="243"/>
      <c r="F179" s="289"/>
      <c r="G179" s="289"/>
    </row>
    <row r="180" spans="3:7" s="288" customFormat="1" x14ac:dyDescent="0.25">
      <c r="C180" s="243"/>
      <c r="F180" s="289"/>
      <c r="G180" s="289"/>
    </row>
    <row r="181" spans="3:7" s="288" customFormat="1" x14ac:dyDescent="0.25">
      <c r="C181" s="243"/>
      <c r="F181" s="289"/>
      <c r="G181" s="289"/>
    </row>
    <row r="182" spans="3:7" s="288" customFormat="1" x14ac:dyDescent="0.25">
      <c r="C182" s="243"/>
      <c r="F182" s="289"/>
      <c r="G182" s="289"/>
    </row>
    <row r="183" spans="3:7" s="288" customFormat="1" x14ac:dyDescent="0.25">
      <c r="C183" s="243"/>
      <c r="F183" s="289"/>
      <c r="G183" s="289"/>
    </row>
    <row r="184" spans="3:7" s="288" customFormat="1" x14ac:dyDescent="0.25">
      <c r="C184" s="243"/>
      <c r="F184" s="289"/>
      <c r="G184" s="289"/>
    </row>
    <row r="185" spans="3:7" s="288" customFormat="1" x14ac:dyDescent="0.25">
      <c r="C185" s="243"/>
      <c r="F185" s="289"/>
      <c r="G185" s="289"/>
    </row>
    <row r="186" spans="3:7" s="288" customFormat="1" x14ac:dyDescent="0.25">
      <c r="C186" s="243"/>
      <c r="F186" s="289"/>
      <c r="G186" s="289"/>
    </row>
    <row r="187" spans="3:7" s="288" customFormat="1" x14ac:dyDescent="0.25">
      <c r="C187" s="243"/>
      <c r="F187" s="289"/>
      <c r="G187" s="289"/>
    </row>
    <row r="188" spans="3:7" s="288" customFormat="1" x14ac:dyDescent="0.25">
      <c r="C188" s="243"/>
      <c r="F188" s="289"/>
      <c r="G188" s="289"/>
    </row>
    <row r="189" spans="3:7" s="288" customFormat="1" x14ac:dyDescent="0.25">
      <c r="C189" s="243"/>
      <c r="F189" s="289"/>
      <c r="G189" s="289"/>
    </row>
    <row r="190" spans="3:7" s="288" customFormat="1" x14ac:dyDescent="0.25">
      <c r="C190" s="243"/>
      <c r="F190" s="289"/>
      <c r="G190" s="289"/>
    </row>
    <row r="191" spans="3:7" s="288" customFormat="1" x14ac:dyDescent="0.25">
      <c r="C191" s="243"/>
      <c r="F191" s="289"/>
      <c r="G191" s="289"/>
    </row>
    <row r="192" spans="3:7" s="288" customFormat="1" x14ac:dyDescent="0.25">
      <c r="C192" s="243"/>
      <c r="F192" s="289"/>
      <c r="G192" s="289"/>
    </row>
    <row r="193" spans="3:7" s="288" customFormat="1" x14ac:dyDescent="0.25">
      <c r="C193" s="243"/>
      <c r="F193" s="289"/>
      <c r="G193" s="289"/>
    </row>
    <row r="194" spans="3:7" s="288" customFormat="1" x14ac:dyDescent="0.25">
      <c r="C194" s="243"/>
      <c r="F194" s="289"/>
      <c r="G194" s="289"/>
    </row>
    <row r="195" spans="3:7" s="288" customFormat="1" x14ac:dyDescent="0.25">
      <c r="C195" s="243"/>
      <c r="F195" s="289"/>
      <c r="G195" s="289"/>
    </row>
    <row r="196" spans="3:7" s="288" customFormat="1" x14ac:dyDescent="0.25">
      <c r="C196" s="243"/>
      <c r="F196" s="289"/>
      <c r="G196" s="289"/>
    </row>
    <row r="197" spans="3:7" s="288" customFormat="1" x14ac:dyDescent="0.25">
      <c r="C197" s="243"/>
      <c r="F197" s="289"/>
      <c r="G197" s="289"/>
    </row>
    <row r="198" spans="3:7" s="288" customFormat="1" x14ac:dyDescent="0.25">
      <c r="C198" s="243"/>
      <c r="F198" s="289"/>
      <c r="G198" s="289"/>
    </row>
    <row r="199" spans="3:7" s="288" customFormat="1" x14ac:dyDescent="0.25">
      <c r="C199" s="243"/>
      <c r="F199" s="289"/>
      <c r="G199" s="289"/>
    </row>
    <row r="200" spans="3:7" s="288" customFormat="1" x14ac:dyDescent="0.25">
      <c r="C200" s="243"/>
      <c r="F200" s="289"/>
      <c r="G200" s="289"/>
    </row>
    <row r="201" spans="3:7" s="288" customFormat="1" x14ac:dyDescent="0.25">
      <c r="C201" s="243"/>
      <c r="F201" s="289"/>
      <c r="G201" s="289"/>
    </row>
    <row r="202" spans="3:7" s="288" customFormat="1" x14ac:dyDescent="0.25">
      <c r="C202" s="243"/>
      <c r="F202" s="289"/>
      <c r="G202" s="289"/>
    </row>
    <row r="203" spans="3:7" s="288" customFormat="1" x14ac:dyDescent="0.25">
      <c r="C203" s="243"/>
      <c r="F203" s="289"/>
      <c r="G203" s="289"/>
    </row>
    <row r="204" spans="3:7" s="288" customFormat="1" x14ac:dyDescent="0.25">
      <c r="C204" s="243"/>
      <c r="F204" s="289"/>
      <c r="G204" s="289"/>
    </row>
    <row r="205" spans="3:7" s="288" customFormat="1" x14ac:dyDescent="0.25">
      <c r="C205" s="243"/>
      <c r="F205" s="289"/>
      <c r="G205" s="289"/>
    </row>
    <row r="206" spans="3:7" s="288" customFormat="1" x14ac:dyDescent="0.25">
      <c r="C206" s="243"/>
      <c r="F206" s="289"/>
      <c r="G206" s="289"/>
    </row>
    <row r="207" spans="3:7" s="288" customFormat="1" x14ac:dyDescent="0.25">
      <c r="C207" s="243"/>
      <c r="F207" s="289"/>
      <c r="G207" s="289"/>
    </row>
    <row r="208" spans="3:7" s="288" customFormat="1" x14ac:dyDescent="0.25">
      <c r="C208" s="243"/>
      <c r="F208" s="289"/>
      <c r="G208" s="289"/>
    </row>
    <row r="209" spans="3:7" s="288" customFormat="1" x14ac:dyDescent="0.25">
      <c r="C209" s="243"/>
      <c r="F209" s="289"/>
      <c r="G209" s="289"/>
    </row>
    <row r="210" spans="3:7" s="288" customFormat="1" x14ac:dyDescent="0.25">
      <c r="C210" s="243"/>
      <c r="F210" s="289"/>
      <c r="G210" s="289"/>
    </row>
    <row r="211" spans="3:7" s="288" customFormat="1" x14ac:dyDescent="0.25">
      <c r="C211" s="243"/>
      <c r="F211" s="289"/>
      <c r="G211" s="289"/>
    </row>
    <row r="212" spans="3:7" s="288" customFormat="1" x14ac:dyDescent="0.25">
      <c r="C212" s="243"/>
      <c r="F212" s="289"/>
      <c r="G212" s="289"/>
    </row>
    <row r="213" spans="3:7" s="288" customFormat="1" x14ac:dyDescent="0.25">
      <c r="C213" s="243"/>
      <c r="F213" s="289"/>
      <c r="G213" s="289"/>
    </row>
    <row r="214" spans="3:7" s="288" customFormat="1" x14ac:dyDescent="0.25">
      <c r="C214" s="243"/>
      <c r="F214" s="289"/>
      <c r="G214" s="289"/>
    </row>
    <row r="215" spans="3:7" s="288" customFormat="1" x14ac:dyDescent="0.25">
      <c r="C215" s="243"/>
      <c r="F215" s="289"/>
      <c r="G215" s="289"/>
    </row>
    <row r="216" spans="3:7" s="288" customFormat="1" x14ac:dyDescent="0.25">
      <c r="C216" s="243"/>
      <c r="F216" s="289"/>
      <c r="G216" s="289"/>
    </row>
    <row r="217" spans="3:7" s="288" customFormat="1" x14ac:dyDescent="0.25">
      <c r="C217" s="243"/>
      <c r="F217" s="289"/>
      <c r="G217" s="289"/>
    </row>
    <row r="218" spans="3:7" s="288" customFormat="1" x14ac:dyDescent="0.25">
      <c r="C218" s="243"/>
      <c r="F218" s="289"/>
      <c r="G218" s="289"/>
    </row>
    <row r="219" spans="3:7" s="288" customFormat="1" x14ac:dyDescent="0.25">
      <c r="C219" s="243"/>
      <c r="F219" s="289"/>
      <c r="G219" s="289"/>
    </row>
    <row r="220" spans="3:7" s="288" customFormat="1" x14ac:dyDescent="0.25">
      <c r="C220" s="243"/>
      <c r="F220" s="289"/>
      <c r="G220" s="289"/>
    </row>
    <row r="221" spans="3:7" s="288" customFormat="1" x14ac:dyDescent="0.25">
      <c r="C221" s="243"/>
      <c r="F221" s="289"/>
      <c r="G221" s="289"/>
    </row>
    <row r="222" spans="3:7" s="288" customFormat="1" x14ac:dyDescent="0.25">
      <c r="C222" s="243"/>
      <c r="F222" s="289"/>
      <c r="G222" s="289"/>
    </row>
    <row r="223" spans="3:7" s="288" customFormat="1" x14ac:dyDescent="0.25">
      <c r="C223" s="243"/>
      <c r="F223" s="289"/>
      <c r="G223" s="289"/>
    </row>
    <row r="224" spans="3:7" s="288" customFormat="1" x14ac:dyDescent="0.25">
      <c r="C224" s="243"/>
      <c r="F224" s="289"/>
      <c r="G224" s="289"/>
    </row>
    <row r="225" spans="1:25" s="288" customFormat="1" x14ac:dyDescent="0.25">
      <c r="C225" s="243"/>
      <c r="F225" s="289"/>
      <c r="G225" s="289"/>
    </row>
    <row r="226" spans="1:25" s="288" customFormat="1" x14ac:dyDescent="0.25">
      <c r="C226" s="243"/>
      <c r="F226" s="289"/>
      <c r="G226" s="289"/>
    </row>
    <row r="227" spans="1:25" s="288" customFormat="1" x14ac:dyDescent="0.25">
      <c r="C227" s="243"/>
      <c r="F227" s="289"/>
      <c r="G227" s="289"/>
    </row>
    <row r="228" spans="1:25" s="288" customFormat="1" x14ac:dyDescent="0.25">
      <c r="C228" s="243"/>
      <c r="F228" s="289"/>
      <c r="G228" s="289"/>
    </row>
    <row r="229" spans="1:25" s="288" customFormat="1" x14ac:dyDescent="0.25">
      <c r="C229" s="243"/>
      <c r="F229" s="289"/>
      <c r="G229" s="289"/>
    </row>
    <row r="230" spans="1:25" s="288" customFormat="1" x14ac:dyDescent="0.25">
      <c r="C230" s="243"/>
      <c r="F230" s="289"/>
      <c r="G230" s="289"/>
    </row>
    <row r="231" spans="1:25" s="288" customFormat="1" x14ac:dyDescent="0.25">
      <c r="A231" s="242"/>
      <c r="B231" s="242"/>
      <c r="C231" s="290"/>
      <c r="D231" s="291"/>
      <c r="F231" s="245"/>
      <c r="G231" s="245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2"/>
      <c r="V231" s="242"/>
      <c r="W231" s="242"/>
      <c r="X231" s="242"/>
      <c r="Y231" s="242"/>
    </row>
    <row r="232" spans="1:25" s="288" customFormat="1" x14ac:dyDescent="0.25">
      <c r="A232" s="242"/>
      <c r="B232" s="242"/>
      <c r="C232" s="290"/>
      <c r="D232" s="291"/>
      <c r="F232" s="245"/>
      <c r="G232" s="245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</row>
    <row r="233" spans="1:25" s="288" customFormat="1" x14ac:dyDescent="0.25">
      <c r="A233" s="242"/>
      <c r="B233" s="242"/>
      <c r="C233" s="290"/>
      <c r="D233" s="291"/>
      <c r="F233" s="245"/>
      <c r="G233" s="245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</row>
    <row r="234" spans="1:25" s="288" customFormat="1" x14ac:dyDescent="0.25">
      <c r="A234" s="242"/>
      <c r="B234" s="242"/>
      <c r="C234" s="290"/>
      <c r="D234" s="291"/>
      <c r="F234" s="245"/>
      <c r="G234" s="245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2"/>
      <c r="V234" s="242"/>
      <c r="W234" s="242"/>
      <c r="X234" s="242"/>
      <c r="Y234" s="242"/>
    </row>
    <row r="235" spans="1:25" s="288" customFormat="1" x14ac:dyDescent="0.25">
      <c r="A235" s="242"/>
      <c r="B235" s="242"/>
      <c r="C235" s="290"/>
      <c r="D235" s="291"/>
      <c r="F235" s="245"/>
      <c r="G235" s="245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</row>
    <row r="236" spans="1:25" s="288" customFormat="1" x14ac:dyDescent="0.25">
      <c r="A236" s="242"/>
      <c r="B236" s="242"/>
      <c r="C236" s="290"/>
      <c r="D236" s="291"/>
      <c r="F236" s="245"/>
      <c r="G236" s="245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</row>
    <row r="237" spans="1:25" s="288" customFormat="1" x14ac:dyDescent="0.25">
      <c r="A237" s="242"/>
      <c r="B237" s="242"/>
      <c r="C237" s="290"/>
      <c r="D237" s="291"/>
      <c r="F237" s="245"/>
      <c r="G237" s="245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</row>
    <row r="238" spans="1:25" s="288" customFormat="1" x14ac:dyDescent="0.25">
      <c r="A238" s="242"/>
      <c r="B238" s="242"/>
      <c r="C238" s="290"/>
      <c r="D238" s="291"/>
      <c r="F238" s="245"/>
      <c r="G238" s="245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</row>
    <row r="239" spans="1:25" s="288" customFormat="1" x14ac:dyDescent="0.25">
      <c r="A239" s="242"/>
      <c r="B239" s="242"/>
      <c r="C239" s="290"/>
      <c r="D239" s="291"/>
      <c r="F239" s="245"/>
      <c r="G239" s="245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</row>
    <row r="240" spans="1:25" s="288" customFormat="1" x14ac:dyDescent="0.25">
      <c r="A240" s="242"/>
      <c r="B240" s="242"/>
      <c r="C240" s="290"/>
      <c r="D240" s="291"/>
      <c r="F240" s="245"/>
      <c r="G240" s="245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</row>
    <row r="241" spans="1:25" s="288" customFormat="1" x14ac:dyDescent="0.25">
      <c r="A241" s="242"/>
      <c r="B241" s="242"/>
      <c r="C241" s="290"/>
      <c r="D241" s="291"/>
      <c r="F241" s="245"/>
      <c r="G241" s="245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</row>
    <row r="242" spans="1:25" s="288" customFormat="1" x14ac:dyDescent="0.25">
      <c r="A242" s="242"/>
      <c r="B242" s="242"/>
      <c r="C242" s="290"/>
      <c r="D242" s="291"/>
      <c r="F242" s="245"/>
      <c r="G242" s="245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2"/>
      <c r="V242" s="242"/>
      <c r="W242" s="242"/>
      <c r="X242" s="242"/>
      <c r="Y242" s="242"/>
    </row>
    <row r="243" spans="1:25" s="288" customFormat="1" x14ac:dyDescent="0.25">
      <c r="A243" s="242"/>
      <c r="B243" s="242"/>
      <c r="C243" s="290"/>
      <c r="D243" s="291"/>
      <c r="F243" s="245"/>
      <c r="G243" s="245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E27"/>
  <sheetViews>
    <sheetView workbookViewId="0">
      <pane ySplit="5" topLeftCell="A6" activePane="bottomLeft" state="frozen"/>
      <selection pane="bottomLeft" activeCell="D7" sqref="D7:D25"/>
    </sheetView>
  </sheetViews>
  <sheetFormatPr defaultRowHeight="12.75" x14ac:dyDescent="0.25"/>
  <cols>
    <col min="1" max="1" width="3.5703125" style="292" customWidth="1"/>
    <col min="2" max="2" width="11.5703125" style="292" customWidth="1"/>
    <col min="3" max="3" width="39.42578125" style="295" customWidth="1"/>
    <col min="4" max="4" width="11.28515625" style="292" customWidth="1"/>
    <col min="5" max="16384" width="9.140625" style="292"/>
  </cols>
  <sheetData>
    <row r="1" spans="1:5" ht="49.5" customHeight="1" thickBot="1" x14ac:dyDescent="0.3">
      <c r="A1" s="1310" t="s">
        <v>704</v>
      </c>
      <c r="B1" s="1310"/>
      <c r="C1" s="1310"/>
      <c r="D1" s="1310"/>
    </row>
    <row r="2" spans="1:5" ht="12.75" customHeight="1" x14ac:dyDescent="0.25">
      <c r="A2" s="1311" t="s">
        <v>0</v>
      </c>
      <c r="B2" s="1313" t="s">
        <v>302</v>
      </c>
      <c r="C2" s="1315" t="s">
        <v>292</v>
      </c>
      <c r="D2" s="1316" t="s">
        <v>705</v>
      </c>
    </row>
    <row r="3" spans="1:5" ht="48.75" customHeight="1" x14ac:dyDescent="0.25">
      <c r="A3" s="1312"/>
      <c r="B3" s="1314"/>
      <c r="C3" s="1314"/>
      <c r="D3" s="1317"/>
    </row>
    <row r="4" spans="1:5" ht="12.75" customHeight="1" x14ac:dyDescent="0.25">
      <c r="A4" s="339"/>
      <c r="B4" s="314"/>
      <c r="C4" s="293" t="s">
        <v>6</v>
      </c>
      <c r="D4" s="340">
        <f>D6+D5</f>
        <v>1078934</v>
      </c>
    </row>
    <row r="5" spans="1:5" ht="12.75" customHeight="1" x14ac:dyDescent="0.25">
      <c r="A5" s="339"/>
      <c r="B5" s="314"/>
      <c r="C5" s="293" t="s">
        <v>14</v>
      </c>
      <c r="D5" s="341">
        <v>0</v>
      </c>
    </row>
    <row r="6" spans="1:5" ht="12.75" customHeight="1" x14ac:dyDescent="0.25">
      <c r="A6" s="339"/>
      <c r="B6" s="314"/>
      <c r="C6" s="293" t="s">
        <v>15</v>
      </c>
      <c r="D6" s="340">
        <f>SUM(D7:D25)</f>
        <v>1078934</v>
      </c>
    </row>
    <row r="7" spans="1:5" ht="12.75" customHeight="1" x14ac:dyDescent="0.25">
      <c r="A7" s="339">
        <v>1</v>
      </c>
      <c r="B7" s="314" t="s">
        <v>26</v>
      </c>
      <c r="C7" s="294" t="s">
        <v>27</v>
      </c>
      <c r="D7" s="342">
        <v>73913</v>
      </c>
      <c r="E7" s="295"/>
    </row>
    <row r="8" spans="1:5" ht="12.75" customHeight="1" x14ac:dyDescent="0.25">
      <c r="A8" s="339">
        <v>2</v>
      </c>
      <c r="B8" s="314" t="s">
        <v>28</v>
      </c>
      <c r="C8" s="294" t="s">
        <v>29</v>
      </c>
      <c r="D8" s="342">
        <v>30984</v>
      </c>
      <c r="E8" s="295"/>
    </row>
    <row r="9" spans="1:5" ht="12.75" customHeight="1" x14ac:dyDescent="0.25">
      <c r="A9" s="339">
        <v>3</v>
      </c>
      <c r="B9" s="314" t="s">
        <v>50</v>
      </c>
      <c r="C9" s="294" t="s">
        <v>51</v>
      </c>
      <c r="D9" s="342">
        <v>65477</v>
      </c>
      <c r="E9" s="295"/>
    </row>
    <row r="10" spans="1:5" ht="12.75" customHeight="1" x14ac:dyDescent="0.25">
      <c r="A10" s="339">
        <v>4</v>
      </c>
      <c r="B10" s="314" t="s">
        <v>58</v>
      </c>
      <c r="C10" s="294" t="s">
        <v>59</v>
      </c>
      <c r="D10" s="342">
        <v>42085</v>
      </c>
      <c r="E10" s="295"/>
    </row>
    <row r="11" spans="1:5" ht="12.75" customHeight="1" x14ac:dyDescent="0.25">
      <c r="A11" s="801">
        <v>5</v>
      </c>
      <c r="B11" s="802" t="s">
        <v>66</v>
      </c>
      <c r="C11" s="294" t="s">
        <v>67</v>
      </c>
      <c r="D11" s="342">
        <v>47385</v>
      </c>
      <c r="E11" s="295"/>
    </row>
    <row r="12" spans="1:5" ht="12.75" customHeight="1" x14ac:dyDescent="0.25">
      <c r="A12" s="801">
        <v>6</v>
      </c>
      <c r="B12" s="314" t="s">
        <v>68</v>
      </c>
      <c r="C12" s="294" t="s">
        <v>69</v>
      </c>
      <c r="D12" s="342">
        <v>46627</v>
      </c>
      <c r="E12" s="295"/>
    </row>
    <row r="13" spans="1:5" ht="12.75" customHeight="1" x14ac:dyDescent="0.2">
      <c r="A13" s="801">
        <v>7</v>
      </c>
      <c r="B13" s="314" t="s">
        <v>77</v>
      </c>
      <c r="C13" s="296" t="s">
        <v>706</v>
      </c>
      <c r="D13" s="342">
        <v>62797</v>
      </c>
      <c r="E13" s="295"/>
    </row>
    <row r="14" spans="1:5" ht="12.75" customHeight="1" x14ac:dyDescent="0.25">
      <c r="A14" s="801">
        <v>8</v>
      </c>
      <c r="B14" s="314" t="s">
        <v>79</v>
      </c>
      <c r="C14" s="294" t="s">
        <v>80</v>
      </c>
      <c r="D14" s="342">
        <v>32781</v>
      </c>
      <c r="E14" s="295"/>
    </row>
    <row r="15" spans="1:5" ht="12.75" customHeight="1" x14ac:dyDescent="0.25">
      <c r="A15" s="801">
        <v>9</v>
      </c>
      <c r="B15" s="314" t="s">
        <v>97</v>
      </c>
      <c r="C15" s="294" t="s">
        <v>98</v>
      </c>
      <c r="D15" s="342">
        <v>4603</v>
      </c>
      <c r="E15" s="295"/>
    </row>
    <row r="16" spans="1:5" ht="12.75" customHeight="1" x14ac:dyDescent="0.25">
      <c r="A16" s="801">
        <v>10</v>
      </c>
      <c r="B16" s="314" t="s">
        <v>99</v>
      </c>
      <c r="C16" s="294" t="s">
        <v>100</v>
      </c>
      <c r="D16" s="342">
        <v>108058</v>
      </c>
      <c r="E16" s="295"/>
    </row>
    <row r="17" spans="1:5" ht="12.75" customHeight="1" x14ac:dyDescent="0.25">
      <c r="A17" s="801">
        <v>11</v>
      </c>
      <c r="B17" s="314" t="s">
        <v>169</v>
      </c>
      <c r="C17" s="294" t="s">
        <v>170</v>
      </c>
      <c r="D17" s="342">
        <v>132367</v>
      </c>
      <c r="E17" s="295"/>
    </row>
    <row r="18" spans="1:5" ht="12.75" customHeight="1" x14ac:dyDescent="0.2">
      <c r="A18" s="801">
        <v>12</v>
      </c>
      <c r="B18" s="314" t="s">
        <v>178</v>
      </c>
      <c r="C18" s="297" t="s">
        <v>707</v>
      </c>
      <c r="D18" s="342">
        <v>1772</v>
      </c>
      <c r="E18" s="295"/>
    </row>
    <row r="19" spans="1:5" ht="12.75" customHeight="1" x14ac:dyDescent="0.25">
      <c r="A19" s="801">
        <v>13</v>
      </c>
      <c r="B19" s="314" t="s">
        <v>258</v>
      </c>
      <c r="C19" s="294" t="s">
        <v>681</v>
      </c>
      <c r="D19" s="342">
        <v>40699</v>
      </c>
      <c r="E19" s="295"/>
    </row>
    <row r="20" spans="1:5" ht="12.75" customHeight="1" x14ac:dyDescent="0.25">
      <c r="A20" s="801">
        <v>14</v>
      </c>
      <c r="B20" s="314" t="s">
        <v>260</v>
      </c>
      <c r="C20" s="294" t="s">
        <v>261</v>
      </c>
      <c r="D20" s="342">
        <v>52241</v>
      </c>
      <c r="E20" s="295"/>
    </row>
    <row r="21" spans="1:5" ht="12.75" customHeight="1" x14ac:dyDescent="0.25">
      <c r="A21" s="801">
        <v>15</v>
      </c>
      <c r="B21" s="314" t="s">
        <v>266</v>
      </c>
      <c r="C21" s="294" t="s">
        <v>708</v>
      </c>
      <c r="D21" s="342">
        <v>64359</v>
      </c>
      <c r="E21" s="295"/>
    </row>
    <row r="22" spans="1:5" ht="12.75" customHeight="1" x14ac:dyDescent="0.25">
      <c r="A22" s="801">
        <v>16</v>
      </c>
      <c r="B22" s="314" t="s">
        <v>270</v>
      </c>
      <c r="C22" s="298" t="s">
        <v>271</v>
      </c>
      <c r="D22" s="342">
        <v>87793</v>
      </c>
      <c r="E22" s="295"/>
    </row>
    <row r="23" spans="1:5" ht="12.75" customHeight="1" x14ac:dyDescent="0.25">
      <c r="A23" s="801">
        <v>17</v>
      </c>
      <c r="B23" s="314" t="s">
        <v>276</v>
      </c>
      <c r="C23" s="294" t="s">
        <v>277</v>
      </c>
      <c r="D23" s="342">
        <v>38630</v>
      </c>
      <c r="E23" s="295"/>
    </row>
    <row r="24" spans="1:5" ht="12.75" customHeight="1" x14ac:dyDescent="0.25">
      <c r="A24" s="801">
        <v>18</v>
      </c>
      <c r="B24" s="314" t="s">
        <v>278</v>
      </c>
      <c r="C24" s="294" t="s">
        <v>279</v>
      </c>
      <c r="D24" s="342">
        <v>44843</v>
      </c>
      <c r="E24" s="295"/>
    </row>
    <row r="25" spans="1:5" ht="12.75" customHeight="1" thickBot="1" x14ac:dyDescent="0.3">
      <c r="A25" s="801">
        <v>19</v>
      </c>
      <c r="B25" s="343" t="s">
        <v>280</v>
      </c>
      <c r="C25" s="344" t="s">
        <v>281</v>
      </c>
      <c r="D25" s="342">
        <v>101520</v>
      </c>
      <c r="E25" s="295"/>
    </row>
    <row r="26" spans="1:5" x14ac:dyDescent="0.25">
      <c r="C26" s="299"/>
      <c r="D26" s="300"/>
      <c r="E26" s="295"/>
    </row>
    <row r="27" spans="1:5" x14ac:dyDescent="0.25">
      <c r="C27" s="299"/>
      <c r="D27" s="300"/>
      <c r="E27" s="295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T32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D24" sqref="D24"/>
    </sheetView>
  </sheetViews>
  <sheetFormatPr defaultColWidth="9.140625" defaultRowHeight="11.25" x14ac:dyDescent="0.25"/>
  <cols>
    <col min="1" max="1" width="3.42578125" style="302" customWidth="1"/>
    <col min="2" max="2" width="6.5703125" style="302" customWidth="1"/>
    <col min="3" max="3" width="30.42578125" style="301" customWidth="1"/>
    <col min="4" max="4" width="6.7109375" style="303" customWidth="1"/>
    <col min="5" max="5" width="7.42578125" style="303" customWidth="1"/>
    <col min="6" max="6" width="7.140625" style="303" customWidth="1"/>
    <col min="7" max="7" width="9.28515625" style="303" customWidth="1"/>
    <col min="8" max="8" width="12.140625" style="303" customWidth="1"/>
    <col min="9" max="9" width="7.42578125" style="303" customWidth="1"/>
    <col min="10" max="10" width="7.7109375" style="303" customWidth="1"/>
    <col min="11" max="11" width="6.42578125" style="303" customWidth="1"/>
    <col min="12" max="12" width="7" style="303" customWidth="1"/>
    <col min="13" max="13" width="8.42578125" style="303" customWidth="1"/>
    <col min="14" max="14" width="10" style="303" customWidth="1"/>
    <col min="15" max="15" width="10.85546875" style="303" customWidth="1"/>
    <col min="16" max="16" width="9.85546875" style="303" customWidth="1"/>
    <col min="17" max="17" width="10.140625" style="303" customWidth="1"/>
    <col min="18" max="18" width="9.5703125" style="303" customWidth="1"/>
    <col min="19" max="19" width="9.140625" style="303" customWidth="1"/>
    <col min="20" max="20" width="17.5703125" style="301" customWidth="1"/>
    <col min="21" max="16384" width="9.140625" style="301"/>
  </cols>
  <sheetData>
    <row r="1" spans="1:19" ht="28.5" customHeight="1" x14ac:dyDescent="0.25">
      <c r="A1" s="1320" t="s">
        <v>709</v>
      </c>
      <c r="B1" s="1320"/>
      <c r="C1" s="1320"/>
      <c r="D1" s="1320"/>
      <c r="E1" s="1320"/>
      <c r="F1" s="1320"/>
      <c r="G1" s="1320"/>
      <c r="H1" s="1320"/>
      <c r="I1" s="1320"/>
      <c r="J1" s="1320"/>
      <c r="K1" s="1320"/>
      <c r="L1" s="1320"/>
      <c r="M1" s="1320"/>
      <c r="N1" s="1320"/>
      <c r="O1" s="1320"/>
      <c r="P1" s="1320"/>
      <c r="Q1" s="1320"/>
      <c r="R1" s="1320"/>
      <c r="S1" s="1320"/>
    </row>
    <row r="2" spans="1:19" ht="15.75" customHeight="1" thickBot="1" x14ac:dyDescent="0.3"/>
    <row r="3" spans="1:19" ht="14.25" customHeight="1" x14ac:dyDescent="0.25">
      <c r="A3" s="1321" t="s">
        <v>0</v>
      </c>
      <c r="B3" s="1323" t="s">
        <v>302</v>
      </c>
      <c r="C3" s="1323" t="s">
        <v>292</v>
      </c>
      <c r="D3" s="1325" t="s">
        <v>710</v>
      </c>
      <c r="E3" s="1325"/>
      <c r="F3" s="1325"/>
      <c r="G3" s="1325"/>
      <c r="H3" s="1325"/>
      <c r="I3" s="1325"/>
      <c r="J3" s="1325"/>
      <c r="K3" s="1325"/>
      <c r="L3" s="1326"/>
      <c r="M3" s="1327" t="s">
        <v>711</v>
      </c>
      <c r="N3" s="1327" t="s">
        <v>712</v>
      </c>
      <c r="O3" s="1330" t="s">
        <v>713</v>
      </c>
      <c r="P3" s="1331"/>
      <c r="Q3" s="1331"/>
      <c r="R3" s="1332"/>
      <c r="S3" s="1333" t="s">
        <v>594</v>
      </c>
    </row>
    <row r="4" spans="1:19" ht="15" customHeight="1" x14ac:dyDescent="0.25">
      <c r="A4" s="1322"/>
      <c r="B4" s="1324"/>
      <c r="C4" s="1324"/>
      <c r="D4" s="1335" t="s">
        <v>714</v>
      </c>
      <c r="E4" s="1336"/>
      <c r="F4" s="1336"/>
      <c r="G4" s="1336"/>
      <c r="H4" s="1336"/>
      <c r="I4" s="1336"/>
      <c r="J4" s="1336"/>
      <c r="K4" s="1335" t="s">
        <v>715</v>
      </c>
      <c r="L4" s="1337" t="s">
        <v>6</v>
      </c>
      <c r="M4" s="1328"/>
      <c r="N4" s="1328"/>
      <c r="O4" s="1338" t="s">
        <v>716</v>
      </c>
      <c r="P4" s="1335" t="s">
        <v>717</v>
      </c>
      <c r="Q4" s="1335" t="s">
        <v>718</v>
      </c>
      <c r="R4" s="1318" t="s">
        <v>6</v>
      </c>
      <c r="S4" s="1334"/>
    </row>
    <row r="5" spans="1:19" ht="97.5" customHeight="1" x14ac:dyDescent="0.25">
      <c r="A5" s="1322"/>
      <c r="B5" s="1324"/>
      <c r="C5" s="1324"/>
      <c r="D5" s="345" t="s">
        <v>719</v>
      </c>
      <c r="E5" s="345" t="s">
        <v>720</v>
      </c>
      <c r="F5" s="345" t="s">
        <v>721</v>
      </c>
      <c r="G5" s="345" t="s">
        <v>722</v>
      </c>
      <c r="H5" s="345" t="s">
        <v>723</v>
      </c>
      <c r="I5" s="345" t="s">
        <v>724</v>
      </c>
      <c r="J5" s="345" t="s">
        <v>6</v>
      </c>
      <c r="K5" s="1336"/>
      <c r="L5" s="1319"/>
      <c r="M5" s="1329"/>
      <c r="N5" s="1329"/>
      <c r="O5" s="1339"/>
      <c r="P5" s="1336"/>
      <c r="Q5" s="1336"/>
      <c r="R5" s="1319"/>
      <c r="S5" s="1334"/>
    </row>
    <row r="6" spans="1:19" x14ac:dyDescent="0.25">
      <c r="A6" s="304"/>
      <c r="B6" s="346"/>
      <c r="C6" s="347" t="s">
        <v>470</v>
      </c>
      <c r="D6" s="348">
        <f t="shared" ref="D6:S6" si="0">SUM(D7:D27)</f>
        <v>3650</v>
      </c>
      <c r="E6" s="348">
        <f t="shared" si="0"/>
        <v>4470</v>
      </c>
      <c r="F6" s="348">
        <f t="shared" si="0"/>
        <v>840</v>
      </c>
      <c r="G6" s="348">
        <f t="shared" si="0"/>
        <v>1480</v>
      </c>
      <c r="H6" s="348">
        <f t="shared" si="0"/>
        <v>700</v>
      </c>
      <c r="I6" s="348">
        <f t="shared" si="0"/>
        <v>1050</v>
      </c>
      <c r="J6" s="348">
        <f t="shared" si="0"/>
        <v>12190</v>
      </c>
      <c r="K6" s="348">
        <f t="shared" si="0"/>
        <v>1030</v>
      </c>
      <c r="L6" s="357">
        <f t="shared" si="0"/>
        <v>13220</v>
      </c>
      <c r="M6" s="362">
        <f t="shared" si="0"/>
        <v>1000</v>
      </c>
      <c r="N6" s="362">
        <f t="shared" si="0"/>
        <v>11035</v>
      </c>
      <c r="O6" s="364">
        <f t="shared" si="0"/>
        <v>29740</v>
      </c>
      <c r="P6" s="348">
        <f t="shared" si="0"/>
        <v>30050</v>
      </c>
      <c r="Q6" s="348">
        <f t="shared" si="0"/>
        <v>27726</v>
      </c>
      <c r="R6" s="357">
        <f t="shared" si="0"/>
        <v>87516</v>
      </c>
      <c r="S6" s="360">
        <f t="shared" si="0"/>
        <v>112771</v>
      </c>
    </row>
    <row r="7" spans="1:19" x14ac:dyDescent="0.25">
      <c r="A7" s="304">
        <v>1</v>
      </c>
      <c r="B7" s="346" t="s">
        <v>20</v>
      </c>
      <c r="C7" s="349" t="s">
        <v>21</v>
      </c>
      <c r="D7" s="306"/>
      <c r="E7" s="306"/>
      <c r="F7" s="306"/>
      <c r="G7" s="306"/>
      <c r="H7" s="306"/>
      <c r="I7" s="306"/>
      <c r="J7" s="306"/>
      <c r="K7" s="306"/>
      <c r="L7" s="358"/>
      <c r="M7" s="307"/>
      <c r="N7" s="307"/>
      <c r="O7" s="305">
        <v>900</v>
      </c>
      <c r="P7" s="305">
        <v>820</v>
      </c>
      <c r="Q7" s="305">
        <v>800</v>
      </c>
      <c r="R7" s="358">
        <f>SUM(O7:Q7)</f>
        <v>2520</v>
      </c>
      <c r="S7" s="361">
        <f t="shared" ref="S7:S27" si="1">L7+M7+N7+R7</f>
        <v>2520</v>
      </c>
    </row>
    <row r="8" spans="1:19" x14ac:dyDescent="0.25">
      <c r="A8" s="304">
        <v>2</v>
      </c>
      <c r="B8" s="346" t="s">
        <v>26</v>
      </c>
      <c r="C8" s="349" t="s">
        <v>27</v>
      </c>
      <c r="D8" s="306"/>
      <c r="E8" s="306"/>
      <c r="F8" s="306"/>
      <c r="G8" s="306"/>
      <c r="H8" s="306"/>
      <c r="I8" s="306"/>
      <c r="J8" s="306"/>
      <c r="K8" s="306"/>
      <c r="L8" s="358"/>
      <c r="M8" s="307"/>
      <c r="N8" s="307"/>
      <c r="O8" s="305">
        <v>1950</v>
      </c>
      <c r="P8" s="305">
        <v>1850</v>
      </c>
      <c r="Q8" s="305">
        <v>1850</v>
      </c>
      <c r="R8" s="358">
        <f t="shared" ref="R8:R27" si="2">SUM(O8:Q8)</f>
        <v>5650</v>
      </c>
      <c r="S8" s="361">
        <f t="shared" si="1"/>
        <v>5650</v>
      </c>
    </row>
    <row r="9" spans="1:19" x14ac:dyDescent="0.25">
      <c r="A9" s="304">
        <v>3</v>
      </c>
      <c r="B9" s="346" t="s">
        <v>50</v>
      </c>
      <c r="C9" s="349" t="s">
        <v>51</v>
      </c>
      <c r="D9" s="306"/>
      <c r="E9" s="306"/>
      <c r="F9" s="306"/>
      <c r="G9" s="306"/>
      <c r="H9" s="306"/>
      <c r="I9" s="306"/>
      <c r="J9" s="306"/>
      <c r="K9" s="306"/>
      <c r="L9" s="358"/>
      <c r="M9" s="307"/>
      <c r="N9" s="307"/>
      <c r="O9" s="305">
        <v>1650</v>
      </c>
      <c r="P9" s="305">
        <v>1400</v>
      </c>
      <c r="Q9" s="305">
        <v>1300</v>
      </c>
      <c r="R9" s="358">
        <f t="shared" si="2"/>
        <v>4350</v>
      </c>
      <c r="S9" s="361">
        <f t="shared" si="1"/>
        <v>4350</v>
      </c>
    </row>
    <row r="10" spans="1:19" x14ac:dyDescent="0.25">
      <c r="A10" s="304">
        <v>4</v>
      </c>
      <c r="B10" s="346" t="s">
        <v>58</v>
      </c>
      <c r="C10" s="349" t="s">
        <v>59</v>
      </c>
      <c r="D10" s="306"/>
      <c r="E10" s="306"/>
      <c r="F10" s="306"/>
      <c r="G10" s="306"/>
      <c r="H10" s="306"/>
      <c r="I10" s="306"/>
      <c r="J10" s="306"/>
      <c r="K10" s="306"/>
      <c r="L10" s="358"/>
      <c r="M10" s="307"/>
      <c r="N10" s="307"/>
      <c r="O10" s="305">
        <v>1400</v>
      </c>
      <c r="P10" s="305">
        <v>1400</v>
      </c>
      <c r="Q10" s="305">
        <v>1400</v>
      </c>
      <c r="R10" s="358">
        <f t="shared" si="2"/>
        <v>4200</v>
      </c>
      <c r="S10" s="361">
        <f t="shared" si="1"/>
        <v>4200</v>
      </c>
    </row>
    <row r="11" spans="1:19" x14ac:dyDescent="0.25">
      <c r="A11" s="304">
        <v>5</v>
      </c>
      <c r="B11" s="346" t="s">
        <v>66</v>
      </c>
      <c r="C11" s="349" t="s">
        <v>67</v>
      </c>
      <c r="D11" s="306"/>
      <c r="E11" s="306"/>
      <c r="F11" s="306"/>
      <c r="G11" s="306"/>
      <c r="H11" s="306"/>
      <c r="I11" s="306"/>
      <c r="J11" s="306"/>
      <c r="K11" s="306"/>
      <c r="L11" s="358"/>
      <c r="M11" s="803"/>
      <c r="N11" s="803"/>
      <c r="O11" s="305">
        <v>2333</v>
      </c>
      <c r="P11" s="305">
        <v>2275</v>
      </c>
      <c r="Q11" s="305">
        <v>1880</v>
      </c>
      <c r="R11" s="358">
        <f t="shared" si="2"/>
        <v>6488</v>
      </c>
      <c r="S11" s="361">
        <f t="shared" si="1"/>
        <v>6488</v>
      </c>
    </row>
    <row r="12" spans="1:19" x14ac:dyDescent="0.25">
      <c r="A12" s="304">
        <v>6</v>
      </c>
      <c r="B12" s="346" t="s">
        <v>68</v>
      </c>
      <c r="C12" s="349" t="s">
        <v>69</v>
      </c>
      <c r="D12" s="306"/>
      <c r="E12" s="306"/>
      <c r="F12" s="306"/>
      <c r="G12" s="306"/>
      <c r="H12" s="306"/>
      <c r="I12" s="306"/>
      <c r="J12" s="306"/>
      <c r="K12" s="306"/>
      <c r="L12" s="358"/>
      <c r="M12" s="307"/>
      <c r="N12" s="307"/>
      <c r="O12" s="305">
        <v>1667</v>
      </c>
      <c r="P12" s="305">
        <v>1625</v>
      </c>
      <c r="Q12" s="305">
        <v>1342</v>
      </c>
      <c r="R12" s="358">
        <f t="shared" si="2"/>
        <v>4634</v>
      </c>
      <c r="S12" s="361">
        <f t="shared" si="1"/>
        <v>4634</v>
      </c>
    </row>
    <row r="13" spans="1:19" x14ac:dyDescent="0.25">
      <c r="A13" s="304">
        <v>7</v>
      </c>
      <c r="B13" s="346" t="s">
        <v>77</v>
      </c>
      <c r="C13" s="349" t="s">
        <v>78</v>
      </c>
      <c r="D13" s="306"/>
      <c r="E13" s="306"/>
      <c r="F13" s="306"/>
      <c r="G13" s="306"/>
      <c r="H13" s="306"/>
      <c r="I13" s="306"/>
      <c r="J13" s="306"/>
      <c r="K13" s="306"/>
      <c r="L13" s="358"/>
      <c r="M13" s="307"/>
      <c r="N13" s="307"/>
      <c r="O13" s="305">
        <v>1230</v>
      </c>
      <c r="P13" s="305">
        <v>1230</v>
      </c>
      <c r="Q13" s="305">
        <v>600</v>
      </c>
      <c r="R13" s="358">
        <f t="shared" si="2"/>
        <v>3060</v>
      </c>
      <c r="S13" s="361">
        <f t="shared" si="1"/>
        <v>3060</v>
      </c>
    </row>
    <row r="14" spans="1:19" x14ac:dyDescent="0.25">
      <c r="A14" s="304">
        <v>8</v>
      </c>
      <c r="B14" s="346" t="s">
        <v>79</v>
      </c>
      <c r="C14" s="349" t="s">
        <v>80</v>
      </c>
      <c r="D14" s="306"/>
      <c r="E14" s="306"/>
      <c r="F14" s="306"/>
      <c r="G14" s="306"/>
      <c r="H14" s="306"/>
      <c r="I14" s="306"/>
      <c r="J14" s="306"/>
      <c r="K14" s="306"/>
      <c r="L14" s="358"/>
      <c r="M14" s="307"/>
      <c r="N14" s="307"/>
      <c r="O14" s="305">
        <v>1700</v>
      </c>
      <c r="P14" s="305">
        <v>1500</v>
      </c>
      <c r="Q14" s="305">
        <v>1500</v>
      </c>
      <c r="R14" s="358">
        <f t="shared" si="2"/>
        <v>4700</v>
      </c>
      <c r="S14" s="361">
        <f t="shared" si="1"/>
        <v>4700</v>
      </c>
    </row>
    <row r="15" spans="1:19" x14ac:dyDescent="0.25">
      <c r="A15" s="304">
        <v>9</v>
      </c>
      <c r="B15" s="346" t="s">
        <v>99</v>
      </c>
      <c r="C15" s="350" t="s">
        <v>100</v>
      </c>
      <c r="D15" s="306"/>
      <c r="E15" s="306"/>
      <c r="F15" s="306"/>
      <c r="G15" s="306"/>
      <c r="H15" s="306"/>
      <c r="I15" s="306"/>
      <c r="J15" s="306"/>
      <c r="K15" s="306"/>
      <c r="L15" s="358"/>
      <c r="M15" s="307"/>
      <c r="N15" s="307"/>
      <c r="O15" s="305">
        <v>1600</v>
      </c>
      <c r="P15" s="305">
        <v>1600</v>
      </c>
      <c r="Q15" s="305">
        <v>1600</v>
      </c>
      <c r="R15" s="358">
        <f t="shared" si="2"/>
        <v>4800</v>
      </c>
      <c r="S15" s="361">
        <f t="shared" si="1"/>
        <v>4800</v>
      </c>
    </row>
    <row r="16" spans="1:19" x14ac:dyDescent="0.25">
      <c r="A16" s="304">
        <v>10</v>
      </c>
      <c r="B16" s="346" t="s">
        <v>117</v>
      </c>
      <c r="C16" s="351" t="s">
        <v>118</v>
      </c>
      <c r="D16" s="306"/>
      <c r="E16" s="306"/>
      <c r="F16" s="306"/>
      <c r="G16" s="306"/>
      <c r="H16" s="306"/>
      <c r="I16" s="306"/>
      <c r="J16" s="306"/>
      <c r="K16" s="306"/>
      <c r="L16" s="358"/>
      <c r="M16" s="307"/>
      <c r="N16" s="307"/>
      <c r="O16" s="305">
        <v>1010</v>
      </c>
      <c r="P16" s="305">
        <v>1150</v>
      </c>
      <c r="Q16" s="305">
        <v>1184</v>
      </c>
      <c r="R16" s="358">
        <f t="shared" si="2"/>
        <v>3344</v>
      </c>
      <c r="S16" s="361">
        <f t="shared" si="1"/>
        <v>3344</v>
      </c>
    </row>
    <row r="17" spans="1:20" x14ac:dyDescent="0.25">
      <c r="A17" s="304">
        <v>11</v>
      </c>
      <c r="B17" s="346" t="s">
        <v>141</v>
      </c>
      <c r="C17" s="349" t="s">
        <v>457</v>
      </c>
      <c r="D17" s="306"/>
      <c r="E17" s="306"/>
      <c r="F17" s="306"/>
      <c r="G17" s="306"/>
      <c r="H17" s="306"/>
      <c r="I17" s="306"/>
      <c r="J17" s="306"/>
      <c r="K17" s="306"/>
      <c r="L17" s="358"/>
      <c r="M17" s="307"/>
      <c r="N17" s="307"/>
      <c r="O17" s="305">
        <v>750</v>
      </c>
      <c r="P17" s="305">
        <v>700</v>
      </c>
      <c r="Q17" s="305">
        <v>700</v>
      </c>
      <c r="R17" s="358">
        <f t="shared" si="2"/>
        <v>2150</v>
      </c>
      <c r="S17" s="361">
        <f t="shared" si="1"/>
        <v>2150</v>
      </c>
    </row>
    <row r="18" spans="1:20" x14ac:dyDescent="0.25">
      <c r="A18" s="304">
        <v>12</v>
      </c>
      <c r="B18" s="346" t="s">
        <v>145</v>
      </c>
      <c r="C18" s="349" t="s">
        <v>458</v>
      </c>
      <c r="D18" s="306"/>
      <c r="E18" s="306"/>
      <c r="F18" s="306"/>
      <c r="G18" s="306"/>
      <c r="H18" s="306"/>
      <c r="I18" s="306"/>
      <c r="J18" s="306"/>
      <c r="K18" s="306"/>
      <c r="L18" s="358"/>
      <c r="M18" s="307"/>
      <c r="N18" s="307"/>
      <c r="O18" s="305">
        <v>1600</v>
      </c>
      <c r="P18" s="305">
        <v>1500</v>
      </c>
      <c r="Q18" s="305">
        <v>1400</v>
      </c>
      <c r="R18" s="358">
        <f t="shared" si="2"/>
        <v>4500</v>
      </c>
      <c r="S18" s="361">
        <f t="shared" si="1"/>
        <v>4500</v>
      </c>
    </row>
    <row r="19" spans="1:20" x14ac:dyDescent="0.25">
      <c r="A19" s="304">
        <v>13</v>
      </c>
      <c r="B19" s="346" t="s">
        <v>169</v>
      </c>
      <c r="C19" s="349" t="s">
        <v>170</v>
      </c>
      <c r="D19" s="306"/>
      <c r="E19" s="306"/>
      <c r="F19" s="306"/>
      <c r="G19" s="306"/>
      <c r="H19" s="306"/>
      <c r="I19" s="306"/>
      <c r="J19" s="306"/>
      <c r="K19" s="306"/>
      <c r="L19" s="358"/>
      <c r="M19" s="307"/>
      <c r="N19" s="307"/>
      <c r="O19" s="305">
        <v>2300</v>
      </c>
      <c r="P19" s="305">
        <v>2200</v>
      </c>
      <c r="Q19" s="305">
        <v>2100</v>
      </c>
      <c r="R19" s="358">
        <f t="shared" si="2"/>
        <v>6600</v>
      </c>
      <c r="S19" s="361">
        <f t="shared" si="1"/>
        <v>6600</v>
      </c>
    </row>
    <row r="20" spans="1:20" x14ac:dyDescent="0.25">
      <c r="A20" s="304">
        <v>14</v>
      </c>
      <c r="B20" s="346" t="s">
        <v>175</v>
      </c>
      <c r="C20" s="352" t="s">
        <v>176</v>
      </c>
      <c r="D20" s="306"/>
      <c r="E20" s="306"/>
      <c r="F20" s="306"/>
      <c r="G20" s="306"/>
      <c r="H20" s="306"/>
      <c r="I20" s="306"/>
      <c r="J20" s="306"/>
      <c r="K20" s="306"/>
      <c r="L20" s="358"/>
      <c r="M20" s="307"/>
      <c r="N20" s="307"/>
      <c r="O20" s="305">
        <v>1650</v>
      </c>
      <c r="P20" s="305">
        <v>1600</v>
      </c>
      <c r="Q20" s="305">
        <v>1570</v>
      </c>
      <c r="R20" s="358">
        <f t="shared" si="2"/>
        <v>4820</v>
      </c>
      <c r="S20" s="361">
        <f t="shared" si="1"/>
        <v>4820</v>
      </c>
    </row>
    <row r="21" spans="1:20" x14ac:dyDescent="0.25">
      <c r="A21" s="304">
        <v>15</v>
      </c>
      <c r="B21" s="346" t="s">
        <v>207</v>
      </c>
      <c r="C21" s="349" t="s">
        <v>208</v>
      </c>
      <c r="D21" s="306"/>
      <c r="E21" s="306"/>
      <c r="F21" s="306"/>
      <c r="G21" s="306"/>
      <c r="H21" s="306"/>
      <c r="I21" s="306"/>
      <c r="J21" s="306"/>
      <c r="K21" s="306"/>
      <c r="L21" s="358"/>
      <c r="M21" s="307"/>
      <c r="N21" s="307"/>
      <c r="O21" s="305">
        <v>800</v>
      </c>
      <c r="P21" s="305">
        <v>800</v>
      </c>
      <c r="Q21" s="305">
        <v>800</v>
      </c>
      <c r="R21" s="358">
        <f t="shared" si="2"/>
        <v>2400</v>
      </c>
      <c r="S21" s="361">
        <f t="shared" si="1"/>
        <v>2400</v>
      </c>
    </row>
    <row r="22" spans="1:20" x14ac:dyDescent="0.25">
      <c r="A22" s="304">
        <v>16</v>
      </c>
      <c r="B22" s="346" t="s">
        <v>258</v>
      </c>
      <c r="C22" s="349" t="s">
        <v>681</v>
      </c>
      <c r="D22" s="306">
        <v>380</v>
      </c>
      <c r="E22" s="306">
        <v>1640</v>
      </c>
      <c r="F22" s="306">
        <v>400</v>
      </c>
      <c r="G22" s="306">
        <v>650</v>
      </c>
      <c r="H22" s="306"/>
      <c r="I22" s="306">
        <v>1000</v>
      </c>
      <c r="J22" s="306">
        <f>D22+E22+F22+G22+H22+I22</f>
        <v>4070</v>
      </c>
      <c r="K22" s="306">
        <v>1030</v>
      </c>
      <c r="L22" s="358">
        <f>J22+K22</f>
        <v>5100</v>
      </c>
      <c r="M22" s="307"/>
      <c r="N22" s="307"/>
      <c r="O22" s="305">
        <v>0</v>
      </c>
      <c r="P22" s="305">
        <v>0</v>
      </c>
      <c r="Q22" s="305">
        <v>0</v>
      </c>
      <c r="R22" s="358">
        <f t="shared" si="2"/>
        <v>0</v>
      </c>
      <c r="S22" s="361">
        <f t="shared" si="1"/>
        <v>5100</v>
      </c>
    </row>
    <row r="23" spans="1:20" x14ac:dyDescent="0.25">
      <c r="A23" s="304">
        <v>17</v>
      </c>
      <c r="B23" s="346" t="s">
        <v>260</v>
      </c>
      <c r="C23" s="349" t="s">
        <v>261</v>
      </c>
      <c r="D23" s="306">
        <v>3270</v>
      </c>
      <c r="E23" s="306">
        <v>2500</v>
      </c>
      <c r="F23" s="306">
        <v>300</v>
      </c>
      <c r="G23" s="306">
        <v>100</v>
      </c>
      <c r="H23" s="306">
        <v>700</v>
      </c>
      <c r="I23" s="306">
        <v>50</v>
      </c>
      <c r="J23" s="306">
        <f>D23+E23+F23+G23+H23+I23</f>
        <v>6920</v>
      </c>
      <c r="K23" s="306"/>
      <c r="L23" s="358">
        <f>J23+K23</f>
        <v>6920</v>
      </c>
      <c r="M23" s="307">
        <v>1000</v>
      </c>
      <c r="N23" s="307"/>
      <c r="O23" s="305">
        <v>0</v>
      </c>
      <c r="P23" s="305">
        <v>0</v>
      </c>
      <c r="Q23" s="305">
        <v>0</v>
      </c>
      <c r="R23" s="358">
        <f t="shared" si="2"/>
        <v>0</v>
      </c>
      <c r="S23" s="361">
        <f t="shared" si="1"/>
        <v>7920</v>
      </c>
    </row>
    <row r="24" spans="1:20" x14ac:dyDescent="0.25">
      <c r="A24" s="304">
        <v>18</v>
      </c>
      <c r="B24" s="346" t="s">
        <v>262</v>
      </c>
      <c r="C24" s="349" t="s">
        <v>263</v>
      </c>
      <c r="D24" s="306"/>
      <c r="E24" s="306">
        <v>330</v>
      </c>
      <c r="F24" s="306">
        <v>140</v>
      </c>
      <c r="G24" s="306">
        <v>730</v>
      </c>
      <c r="H24" s="306"/>
      <c r="I24" s="306"/>
      <c r="J24" s="306">
        <f>D24+E24+F24+G24+H24+I24</f>
        <v>1200</v>
      </c>
      <c r="K24" s="306"/>
      <c r="L24" s="358">
        <f>J24+K24</f>
        <v>1200</v>
      </c>
      <c r="M24" s="307"/>
      <c r="N24" s="307"/>
      <c r="O24" s="305">
        <v>0</v>
      </c>
      <c r="P24" s="305">
        <v>0</v>
      </c>
      <c r="Q24" s="305">
        <v>0</v>
      </c>
      <c r="R24" s="358">
        <f t="shared" si="2"/>
        <v>0</v>
      </c>
      <c r="S24" s="361">
        <f t="shared" si="1"/>
        <v>1200</v>
      </c>
    </row>
    <row r="25" spans="1:20" x14ac:dyDescent="0.25">
      <c r="A25" s="304">
        <v>19</v>
      </c>
      <c r="B25" s="346" t="s">
        <v>268</v>
      </c>
      <c r="C25" s="353" t="s">
        <v>269</v>
      </c>
      <c r="D25" s="306"/>
      <c r="E25" s="306"/>
      <c r="F25" s="306"/>
      <c r="G25" s="306"/>
      <c r="H25" s="306"/>
      <c r="I25" s="306"/>
      <c r="J25" s="306"/>
      <c r="K25" s="306"/>
      <c r="L25" s="358"/>
      <c r="M25" s="307"/>
      <c r="N25" s="307"/>
      <c r="O25" s="305">
        <v>5100</v>
      </c>
      <c r="P25" s="305">
        <v>4800</v>
      </c>
      <c r="Q25" s="305">
        <v>4700</v>
      </c>
      <c r="R25" s="358">
        <f t="shared" si="2"/>
        <v>14600</v>
      </c>
      <c r="S25" s="361">
        <f t="shared" si="1"/>
        <v>14600</v>
      </c>
    </row>
    <row r="26" spans="1:20" x14ac:dyDescent="0.25">
      <c r="A26" s="304">
        <v>20</v>
      </c>
      <c r="B26" s="346" t="s">
        <v>270</v>
      </c>
      <c r="C26" s="352" t="s">
        <v>271</v>
      </c>
      <c r="D26" s="306"/>
      <c r="E26" s="306"/>
      <c r="F26" s="306"/>
      <c r="G26" s="306"/>
      <c r="H26" s="306"/>
      <c r="I26" s="306"/>
      <c r="J26" s="306"/>
      <c r="K26" s="306"/>
      <c r="L26" s="358"/>
      <c r="M26" s="307"/>
      <c r="N26" s="307"/>
      <c r="O26" s="305">
        <v>2100</v>
      </c>
      <c r="P26" s="305">
        <v>3600</v>
      </c>
      <c r="Q26" s="305">
        <v>3000</v>
      </c>
      <c r="R26" s="358">
        <f t="shared" si="2"/>
        <v>8700</v>
      </c>
      <c r="S26" s="361">
        <f t="shared" si="1"/>
        <v>8700</v>
      </c>
    </row>
    <row r="27" spans="1:20" ht="12" thickBot="1" x14ac:dyDescent="0.3">
      <c r="A27" s="304">
        <v>21</v>
      </c>
      <c r="B27" s="354" t="s">
        <v>284</v>
      </c>
      <c r="C27" s="355" t="s">
        <v>285</v>
      </c>
      <c r="D27" s="356"/>
      <c r="E27" s="356"/>
      <c r="F27" s="356"/>
      <c r="G27" s="356"/>
      <c r="H27" s="356"/>
      <c r="I27" s="356"/>
      <c r="J27" s="356"/>
      <c r="K27" s="356"/>
      <c r="L27" s="359"/>
      <c r="M27" s="363"/>
      <c r="N27" s="363">
        <v>11035</v>
      </c>
      <c r="O27" s="305">
        <v>0</v>
      </c>
      <c r="P27" s="305">
        <v>0</v>
      </c>
      <c r="Q27" s="305">
        <v>0</v>
      </c>
      <c r="R27" s="358">
        <f t="shared" si="2"/>
        <v>0</v>
      </c>
      <c r="S27" s="361">
        <f t="shared" si="1"/>
        <v>11035</v>
      </c>
    </row>
    <row r="28" spans="1:20" x14ac:dyDescent="0.25">
      <c r="A28" s="308"/>
      <c r="B28" s="308"/>
      <c r="C28" s="309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</row>
    <row r="29" spans="1:20" ht="16.5" customHeight="1" x14ac:dyDescent="0.25">
      <c r="A29" s="308"/>
      <c r="B29" s="308"/>
      <c r="C29" s="311"/>
      <c r="D29" s="310"/>
      <c r="E29" s="310"/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</row>
    <row r="30" spans="1:20" s="311" customFormat="1" x14ac:dyDescent="0.25">
      <c r="A30" s="308"/>
      <c r="B30" s="308"/>
      <c r="C30" s="312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01"/>
    </row>
    <row r="31" spans="1:20" s="311" customFormat="1" x14ac:dyDescent="0.25">
      <c r="A31" s="302"/>
      <c r="B31" s="302"/>
      <c r="C31" s="301" t="s">
        <v>725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3"/>
      <c r="R31" s="303"/>
      <c r="S31" s="303"/>
      <c r="T31" s="301"/>
    </row>
    <row r="32" spans="1:20" s="311" customFormat="1" x14ac:dyDescent="0.25">
      <c r="A32" s="302"/>
      <c r="B32" s="302"/>
      <c r="C32" s="301"/>
      <c r="D32" s="303"/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/>
      <c r="Q32" s="303"/>
      <c r="R32" s="303"/>
      <c r="S32" s="303"/>
      <c r="T32" s="301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145"/>
  <sheetViews>
    <sheetView zoomScaleNormal="100" workbookViewId="0">
      <pane xSplit="3" ySplit="6" topLeftCell="D124" activePane="bottomRight" state="frozen"/>
      <selection pane="topRight" activeCell="D1" sqref="D1"/>
      <selection pane="bottomLeft" activeCell="A6" sqref="A6"/>
      <selection pane="bottomRight" activeCell="D149" sqref="D149"/>
    </sheetView>
  </sheetViews>
  <sheetFormatPr defaultRowHeight="12" x14ac:dyDescent="0.25"/>
  <cols>
    <col min="1" max="1" width="4" style="157" customWidth="1"/>
    <col min="2" max="2" width="9.28515625" style="157" customWidth="1"/>
    <col min="3" max="3" width="31" style="186" customWidth="1"/>
    <col min="4" max="4" width="12.140625" style="186" customWidth="1"/>
    <col min="5" max="7" width="10.85546875" style="157" customWidth="1"/>
    <col min="8" max="8" width="12.85546875" style="157" customWidth="1"/>
    <col min="9" max="10" width="10.85546875" style="157" customWidth="1"/>
    <col min="11" max="11" width="11.5703125" style="157" customWidth="1"/>
    <col min="12" max="16384" width="9.140625" style="187"/>
  </cols>
  <sheetData>
    <row r="2" spans="1:11" s="156" customFormat="1" ht="15.75" customHeight="1" x14ac:dyDescent="0.25">
      <c r="A2" s="960" t="s">
        <v>635</v>
      </c>
      <c r="B2" s="960"/>
      <c r="C2" s="960"/>
      <c r="D2" s="960"/>
      <c r="E2" s="960"/>
      <c r="F2" s="960"/>
      <c r="G2" s="960"/>
      <c r="H2" s="960"/>
      <c r="I2" s="960"/>
      <c r="J2" s="960"/>
      <c r="K2" s="960"/>
    </row>
    <row r="3" spans="1:11" s="156" customFormat="1" x14ac:dyDescent="0.25">
      <c r="A3" s="157"/>
      <c r="B3" s="157"/>
      <c r="C3" s="158"/>
      <c r="D3" s="158"/>
      <c r="E3" s="158"/>
      <c r="F3" s="157"/>
      <c r="G3" s="157"/>
      <c r="H3" s="157"/>
      <c r="I3" s="157"/>
      <c r="J3" s="157"/>
      <c r="K3" s="157"/>
    </row>
    <row r="4" spans="1:11" s="156" customFormat="1" x14ac:dyDescent="0.25">
      <c r="A4" s="157"/>
      <c r="B4" s="157"/>
      <c r="C4" s="158"/>
      <c r="D4" s="158"/>
      <c r="E4" s="158"/>
      <c r="F4" s="157"/>
      <c r="G4" s="157"/>
      <c r="H4" s="157"/>
      <c r="I4" s="157"/>
      <c r="J4" s="157"/>
      <c r="K4" s="157"/>
    </row>
    <row r="5" spans="1:11" s="156" customFormat="1" ht="12.75" customHeight="1" x14ac:dyDescent="0.25">
      <c r="A5" s="961" t="s">
        <v>0</v>
      </c>
      <c r="B5" s="961" t="s">
        <v>302</v>
      </c>
      <c r="C5" s="961" t="s">
        <v>292</v>
      </c>
      <c r="D5" s="961" t="s">
        <v>636</v>
      </c>
      <c r="E5" s="961" t="s">
        <v>637</v>
      </c>
      <c r="F5" s="962"/>
      <c r="G5" s="962"/>
      <c r="H5" s="962"/>
      <c r="I5" s="962"/>
      <c r="J5" s="963" t="s">
        <v>638</v>
      </c>
      <c r="K5" s="964" t="s">
        <v>639</v>
      </c>
    </row>
    <row r="6" spans="1:11" s="159" customFormat="1" ht="48.75" customHeight="1" x14ac:dyDescent="0.25">
      <c r="A6" s="961"/>
      <c r="B6" s="961"/>
      <c r="C6" s="961"/>
      <c r="D6" s="961"/>
      <c r="E6" s="961"/>
      <c r="F6" s="635" t="s">
        <v>640</v>
      </c>
      <c r="G6" s="634" t="s">
        <v>641</v>
      </c>
      <c r="H6" s="634" t="s">
        <v>642</v>
      </c>
      <c r="I6" s="634" t="s">
        <v>643</v>
      </c>
      <c r="J6" s="963"/>
      <c r="K6" s="964"/>
    </row>
    <row r="7" spans="1:11" s="156" customFormat="1" ht="12" customHeight="1" x14ac:dyDescent="0.25">
      <c r="A7" s="633">
        <v>1</v>
      </c>
      <c r="B7" s="160" t="s">
        <v>16</v>
      </c>
      <c r="C7" s="161" t="s">
        <v>17</v>
      </c>
      <c r="D7" s="162">
        <f t="shared" ref="D7:D70" si="0">E7+J7</f>
        <v>968</v>
      </c>
      <c r="E7" s="162">
        <v>968</v>
      </c>
      <c r="F7" s="633"/>
      <c r="G7" s="633"/>
      <c r="H7" s="633"/>
      <c r="I7" s="633"/>
      <c r="J7" s="633"/>
      <c r="K7" s="633"/>
    </row>
    <row r="8" spans="1:11" s="156" customFormat="1" x14ac:dyDescent="0.25">
      <c r="A8" s="633">
        <v>2</v>
      </c>
      <c r="B8" s="160" t="s">
        <v>18</v>
      </c>
      <c r="C8" s="163" t="s">
        <v>19</v>
      </c>
      <c r="D8" s="162">
        <f t="shared" si="0"/>
        <v>976</v>
      </c>
      <c r="E8" s="164">
        <v>976</v>
      </c>
      <c r="F8" s="633"/>
      <c r="G8" s="633"/>
      <c r="H8" s="633"/>
      <c r="I8" s="633"/>
      <c r="J8" s="633"/>
      <c r="K8" s="633"/>
    </row>
    <row r="9" spans="1:11" s="156" customFormat="1" x14ac:dyDescent="0.25">
      <c r="A9" s="633">
        <v>3</v>
      </c>
      <c r="B9" s="165" t="s">
        <v>20</v>
      </c>
      <c r="C9" s="166" t="s">
        <v>21</v>
      </c>
      <c r="D9" s="162">
        <f t="shared" si="0"/>
        <v>2984</v>
      </c>
      <c r="E9" s="167">
        <v>2984</v>
      </c>
      <c r="F9" s="633"/>
      <c r="G9" s="633"/>
      <c r="H9" s="633">
        <v>7</v>
      </c>
      <c r="I9" s="633"/>
      <c r="J9" s="633"/>
      <c r="K9" s="633"/>
    </row>
    <row r="10" spans="1:11" s="156" customFormat="1" ht="11.25" customHeight="1" x14ac:dyDescent="0.25">
      <c r="A10" s="633">
        <v>4</v>
      </c>
      <c r="B10" s="160" t="s">
        <v>22</v>
      </c>
      <c r="C10" s="163" t="s">
        <v>23</v>
      </c>
      <c r="D10" s="162">
        <f t="shared" si="0"/>
        <v>1060</v>
      </c>
      <c r="E10" s="164">
        <v>1060</v>
      </c>
      <c r="F10" s="633"/>
      <c r="G10" s="633"/>
      <c r="H10" s="633"/>
      <c r="I10" s="633"/>
      <c r="J10" s="633"/>
      <c r="K10" s="633"/>
    </row>
    <row r="11" spans="1:11" s="156" customFormat="1" ht="12.75" customHeight="1" x14ac:dyDescent="0.25">
      <c r="A11" s="633">
        <v>5</v>
      </c>
      <c r="B11" s="160" t="s">
        <v>24</v>
      </c>
      <c r="C11" s="163" t="s">
        <v>25</v>
      </c>
      <c r="D11" s="162">
        <f t="shared" si="0"/>
        <v>1153</v>
      </c>
      <c r="E11" s="164">
        <v>1153</v>
      </c>
      <c r="F11" s="633"/>
      <c r="G11" s="633"/>
      <c r="H11" s="633"/>
      <c r="I11" s="633"/>
      <c r="J11" s="633"/>
      <c r="K11" s="633"/>
    </row>
    <row r="12" spans="1:11" s="156" customFormat="1" x14ac:dyDescent="0.25">
      <c r="A12" s="633">
        <v>6</v>
      </c>
      <c r="B12" s="165" t="s">
        <v>26</v>
      </c>
      <c r="C12" s="166" t="s">
        <v>27</v>
      </c>
      <c r="D12" s="162">
        <f t="shared" si="0"/>
        <v>8263</v>
      </c>
      <c r="E12" s="167">
        <v>8263</v>
      </c>
      <c r="F12" s="633"/>
      <c r="G12" s="633"/>
      <c r="H12" s="633">
        <v>7</v>
      </c>
      <c r="I12" s="633"/>
      <c r="J12" s="633"/>
      <c r="K12" s="633">
        <v>400</v>
      </c>
    </row>
    <row r="13" spans="1:11" s="156" customFormat="1" x14ac:dyDescent="0.25">
      <c r="A13" s="633">
        <v>7</v>
      </c>
      <c r="B13" s="168" t="s">
        <v>28</v>
      </c>
      <c r="C13" s="169" t="s">
        <v>29</v>
      </c>
      <c r="D13" s="162">
        <f t="shared" si="0"/>
        <v>2977</v>
      </c>
      <c r="E13" s="170">
        <v>2977</v>
      </c>
      <c r="F13" s="633"/>
      <c r="G13" s="633"/>
      <c r="H13" s="633"/>
      <c r="I13" s="633"/>
      <c r="J13" s="633"/>
      <c r="K13" s="633">
        <v>360</v>
      </c>
    </row>
    <row r="14" spans="1:11" s="156" customFormat="1" x14ac:dyDescent="0.25">
      <c r="A14" s="633">
        <v>8</v>
      </c>
      <c r="B14" s="165" t="s">
        <v>30</v>
      </c>
      <c r="C14" s="166" t="s">
        <v>31</v>
      </c>
      <c r="D14" s="162">
        <f t="shared" si="0"/>
        <v>1236</v>
      </c>
      <c r="E14" s="167">
        <v>1236</v>
      </c>
      <c r="F14" s="633"/>
      <c r="G14" s="633"/>
      <c r="H14" s="633"/>
      <c r="I14" s="633"/>
      <c r="J14" s="633"/>
      <c r="K14" s="633"/>
    </row>
    <row r="15" spans="1:11" s="156" customFormat="1" x14ac:dyDescent="0.25">
      <c r="A15" s="633">
        <v>9</v>
      </c>
      <c r="B15" s="165" t="s">
        <v>32</v>
      </c>
      <c r="C15" s="166" t="s">
        <v>33</v>
      </c>
      <c r="D15" s="162">
        <f t="shared" si="0"/>
        <v>1076</v>
      </c>
      <c r="E15" s="167">
        <v>1076</v>
      </c>
      <c r="F15" s="633"/>
      <c r="G15" s="633"/>
      <c r="H15" s="633"/>
      <c r="I15" s="633"/>
      <c r="J15" s="633"/>
      <c r="K15" s="633"/>
    </row>
    <row r="16" spans="1:11" s="156" customFormat="1" x14ac:dyDescent="0.25">
      <c r="A16" s="633">
        <v>10</v>
      </c>
      <c r="B16" s="165" t="s">
        <v>34</v>
      </c>
      <c r="C16" s="166" t="s">
        <v>35</v>
      </c>
      <c r="D16" s="162">
        <f t="shared" si="0"/>
        <v>1380</v>
      </c>
      <c r="E16" s="167">
        <v>1380</v>
      </c>
      <c r="F16" s="633"/>
      <c r="G16" s="633"/>
      <c r="H16" s="633"/>
      <c r="I16" s="633"/>
      <c r="J16" s="633"/>
      <c r="K16" s="633"/>
    </row>
    <row r="17" spans="1:11" s="156" customFormat="1" x14ac:dyDescent="0.25">
      <c r="A17" s="633">
        <v>11</v>
      </c>
      <c r="B17" s="165" t="s">
        <v>36</v>
      </c>
      <c r="C17" s="166" t="s">
        <v>37</v>
      </c>
      <c r="D17" s="162">
        <f t="shared" si="0"/>
        <v>1127</v>
      </c>
      <c r="E17" s="167">
        <v>1127</v>
      </c>
      <c r="F17" s="633"/>
      <c r="G17" s="633"/>
      <c r="H17" s="633"/>
      <c r="I17" s="633"/>
      <c r="J17" s="633"/>
      <c r="K17" s="633"/>
    </row>
    <row r="18" spans="1:11" s="156" customFormat="1" x14ac:dyDescent="0.25">
      <c r="A18" s="633">
        <v>12</v>
      </c>
      <c r="B18" s="165" t="s">
        <v>38</v>
      </c>
      <c r="C18" s="166" t="s">
        <v>39</v>
      </c>
      <c r="D18" s="162">
        <f t="shared" si="0"/>
        <v>2211</v>
      </c>
      <c r="E18" s="167">
        <v>2211</v>
      </c>
      <c r="F18" s="633"/>
      <c r="G18" s="633"/>
      <c r="H18" s="633"/>
      <c r="I18" s="633"/>
      <c r="J18" s="633"/>
      <c r="K18" s="633"/>
    </row>
    <row r="19" spans="1:11" s="156" customFormat="1" x14ac:dyDescent="0.25">
      <c r="A19" s="633">
        <v>13</v>
      </c>
      <c r="B19" s="171" t="s">
        <v>644</v>
      </c>
      <c r="C19" s="172" t="s">
        <v>41</v>
      </c>
      <c r="D19" s="162">
        <f t="shared" si="0"/>
        <v>0</v>
      </c>
      <c r="E19" s="164">
        <v>0</v>
      </c>
      <c r="F19" s="633"/>
      <c r="G19" s="633"/>
      <c r="H19" s="633"/>
      <c r="I19" s="633"/>
      <c r="J19" s="633"/>
      <c r="K19" s="633"/>
    </row>
    <row r="20" spans="1:11" s="156" customFormat="1" ht="13.5" customHeight="1" x14ac:dyDescent="0.25">
      <c r="A20" s="633">
        <v>14</v>
      </c>
      <c r="B20" s="160" t="s">
        <v>42</v>
      </c>
      <c r="C20" s="166" t="s">
        <v>43</v>
      </c>
      <c r="D20" s="162">
        <f t="shared" si="0"/>
        <v>0</v>
      </c>
      <c r="E20" s="167">
        <v>0</v>
      </c>
      <c r="F20" s="633"/>
      <c r="G20" s="633"/>
      <c r="H20" s="633"/>
      <c r="I20" s="633"/>
      <c r="J20" s="633"/>
      <c r="K20" s="633"/>
    </row>
    <row r="21" spans="1:11" s="156" customFormat="1" x14ac:dyDescent="0.25">
      <c r="A21" s="633">
        <v>15</v>
      </c>
      <c r="B21" s="165" t="s">
        <v>44</v>
      </c>
      <c r="C21" s="166" t="s">
        <v>45</v>
      </c>
      <c r="D21" s="162">
        <f t="shared" si="0"/>
        <v>1462</v>
      </c>
      <c r="E21" s="167">
        <v>1462</v>
      </c>
      <c r="F21" s="633"/>
      <c r="G21" s="633"/>
      <c r="H21" s="633"/>
      <c r="I21" s="633"/>
      <c r="J21" s="633"/>
      <c r="K21" s="633"/>
    </row>
    <row r="22" spans="1:11" s="156" customFormat="1" x14ac:dyDescent="0.25">
      <c r="A22" s="633">
        <v>16</v>
      </c>
      <c r="B22" s="165" t="s">
        <v>46</v>
      </c>
      <c r="C22" s="166" t="s">
        <v>47</v>
      </c>
      <c r="D22" s="162">
        <f t="shared" si="0"/>
        <v>2170</v>
      </c>
      <c r="E22" s="167">
        <v>2170</v>
      </c>
      <c r="F22" s="633"/>
      <c r="G22" s="633"/>
      <c r="H22" s="633"/>
      <c r="I22" s="633"/>
      <c r="J22" s="633"/>
      <c r="K22" s="633"/>
    </row>
    <row r="23" spans="1:11" s="156" customFormat="1" x14ac:dyDescent="0.25">
      <c r="A23" s="633">
        <v>17</v>
      </c>
      <c r="B23" s="165" t="s">
        <v>48</v>
      </c>
      <c r="C23" s="166" t="s">
        <v>49</v>
      </c>
      <c r="D23" s="162">
        <f t="shared" si="0"/>
        <v>2828</v>
      </c>
      <c r="E23" s="167">
        <v>2828</v>
      </c>
      <c r="F23" s="633"/>
      <c r="G23" s="633"/>
      <c r="H23" s="633"/>
      <c r="I23" s="633"/>
      <c r="J23" s="633"/>
      <c r="K23" s="633"/>
    </row>
    <row r="24" spans="1:11" s="156" customFormat="1" x14ac:dyDescent="0.25">
      <c r="A24" s="633">
        <v>18</v>
      </c>
      <c r="B24" s="165" t="s">
        <v>50</v>
      </c>
      <c r="C24" s="166" t="s">
        <v>51</v>
      </c>
      <c r="D24" s="162">
        <f t="shared" si="0"/>
        <v>5347</v>
      </c>
      <c r="E24" s="167">
        <v>5347</v>
      </c>
      <c r="F24" s="633"/>
      <c r="G24" s="633"/>
      <c r="H24" s="633">
        <v>10</v>
      </c>
      <c r="I24" s="633"/>
      <c r="J24" s="633"/>
      <c r="K24" s="633">
        <v>465</v>
      </c>
    </row>
    <row r="25" spans="1:11" s="156" customFormat="1" x14ac:dyDescent="0.25">
      <c r="A25" s="633">
        <v>19</v>
      </c>
      <c r="B25" s="160" t="s">
        <v>52</v>
      </c>
      <c r="C25" s="163" t="s">
        <v>53</v>
      </c>
      <c r="D25" s="162">
        <f t="shared" si="0"/>
        <v>902</v>
      </c>
      <c r="E25" s="164">
        <v>902</v>
      </c>
      <c r="F25" s="633"/>
      <c r="G25" s="633"/>
      <c r="H25" s="633"/>
      <c r="I25" s="633"/>
      <c r="J25" s="633"/>
      <c r="K25" s="633"/>
    </row>
    <row r="26" spans="1:11" s="156" customFormat="1" x14ac:dyDescent="0.25">
      <c r="A26" s="633">
        <v>20</v>
      </c>
      <c r="B26" s="160" t="s">
        <v>54</v>
      </c>
      <c r="C26" s="163" t="s">
        <v>55</v>
      </c>
      <c r="D26" s="162">
        <f t="shared" si="0"/>
        <v>696</v>
      </c>
      <c r="E26" s="164">
        <v>696</v>
      </c>
      <c r="F26" s="633"/>
      <c r="G26" s="633"/>
      <c r="H26" s="633"/>
      <c r="I26" s="633"/>
      <c r="J26" s="633"/>
      <c r="K26" s="633"/>
    </row>
    <row r="27" spans="1:11" s="156" customFormat="1" x14ac:dyDescent="0.25">
      <c r="A27" s="633">
        <v>21</v>
      </c>
      <c r="B27" s="160" t="s">
        <v>56</v>
      </c>
      <c r="C27" s="163" t="s">
        <v>57</v>
      </c>
      <c r="D27" s="162">
        <f t="shared" si="0"/>
        <v>3757</v>
      </c>
      <c r="E27" s="164">
        <v>3757</v>
      </c>
      <c r="F27" s="633"/>
      <c r="G27" s="633"/>
      <c r="H27" s="633"/>
      <c r="I27" s="633"/>
      <c r="J27" s="633"/>
      <c r="K27" s="633"/>
    </row>
    <row r="28" spans="1:11" s="156" customFormat="1" x14ac:dyDescent="0.25">
      <c r="A28" s="633">
        <v>22</v>
      </c>
      <c r="B28" s="160" t="s">
        <v>58</v>
      </c>
      <c r="C28" s="163" t="s">
        <v>59</v>
      </c>
      <c r="D28" s="162">
        <f t="shared" si="0"/>
        <v>3295</v>
      </c>
      <c r="E28" s="164">
        <v>3295</v>
      </c>
      <c r="F28" s="633"/>
      <c r="G28" s="633"/>
      <c r="H28" s="633">
        <v>5</v>
      </c>
      <c r="I28" s="633"/>
      <c r="J28" s="633"/>
      <c r="K28" s="633"/>
    </row>
    <row r="29" spans="1:11" s="156" customFormat="1" x14ac:dyDescent="0.25">
      <c r="A29" s="633">
        <v>23</v>
      </c>
      <c r="B29" s="165" t="s">
        <v>60</v>
      </c>
      <c r="C29" s="166" t="s">
        <v>61</v>
      </c>
      <c r="D29" s="162">
        <f t="shared" si="0"/>
        <v>274</v>
      </c>
      <c r="E29" s="167">
        <v>274</v>
      </c>
      <c r="F29" s="633"/>
      <c r="G29" s="633"/>
      <c r="H29" s="633"/>
      <c r="I29" s="633"/>
      <c r="J29" s="633"/>
      <c r="K29" s="633"/>
    </row>
    <row r="30" spans="1:11" s="156" customFormat="1" ht="12" customHeight="1" x14ac:dyDescent="0.25">
      <c r="A30" s="633">
        <v>24</v>
      </c>
      <c r="B30" s="165" t="s">
        <v>62</v>
      </c>
      <c r="C30" s="166" t="s">
        <v>63</v>
      </c>
      <c r="D30" s="162">
        <f t="shared" si="0"/>
        <v>0</v>
      </c>
      <c r="E30" s="167">
        <v>0</v>
      </c>
      <c r="F30" s="633"/>
      <c r="G30" s="633"/>
      <c r="H30" s="633"/>
      <c r="I30" s="633"/>
      <c r="J30" s="633"/>
      <c r="K30" s="633"/>
    </row>
    <row r="31" spans="1:11" s="156" customFormat="1" ht="24" x14ac:dyDescent="0.25">
      <c r="A31" s="633">
        <v>25</v>
      </c>
      <c r="B31" s="165" t="s">
        <v>64</v>
      </c>
      <c r="C31" s="166" t="s">
        <v>65</v>
      </c>
      <c r="D31" s="162">
        <f t="shared" si="0"/>
        <v>0</v>
      </c>
      <c r="E31" s="167">
        <v>0</v>
      </c>
      <c r="F31" s="633"/>
      <c r="G31" s="633"/>
      <c r="H31" s="633"/>
      <c r="I31" s="633"/>
      <c r="J31" s="633"/>
      <c r="K31" s="633">
        <v>530</v>
      </c>
    </row>
    <row r="32" spans="1:11" s="156" customFormat="1" x14ac:dyDescent="0.25">
      <c r="A32" s="633">
        <v>26</v>
      </c>
      <c r="B32" s="160" t="s">
        <v>66</v>
      </c>
      <c r="C32" s="169" t="s">
        <v>67</v>
      </c>
      <c r="D32" s="162">
        <f t="shared" si="0"/>
        <v>10207</v>
      </c>
      <c r="E32" s="170">
        <v>10207</v>
      </c>
      <c r="F32" s="633"/>
      <c r="G32" s="633"/>
      <c r="H32" s="633"/>
      <c r="I32" s="633"/>
      <c r="J32" s="633"/>
      <c r="K32" s="633"/>
    </row>
    <row r="33" spans="1:11" s="156" customFormat="1" x14ac:dyDescent="0.25">
      <c r="A33" s="633">
        <v>27</v>
      </c>
      <c r="B33" s="165" t="s">
        <v>68</v>
      </c>
      <c r="C33" s="166" t="s">
        <v>69</v>
      </c>
      <c r="D33" s="162">
        <f t="shared" si="0"/>
        <v>3051</v>
      </c>
      <c r="E33" s="167">
        <v>3051</v>
      </c>
      <c r="F33" s="633"/>
      <c r="G33" s="633"/>
      <c r="H33" s="633"/>
      <c r="I33" s="633"/>
      <c r="J33" s="633"/>
      <c r="K33" s="633"/>
    </row>
    <row r="34" spans="1:11" s="156" customFormat="1" ht="13.5" customHeight="1" x14ac:dyDescent="0.25">
      <c r="A34" s="633">
        <v>28</v>
      </c>
      <c r="B34" s="165" t="s">
        <v>70</v>
      </c>
      <c r="C34" s="166" t="s">
        <v>71</v>
      </c>
      <c r="D34" s="162">
        <f t="shared" si="0"/>
        <v>2304</v>
      </c>
      <c r="E34" s="167">
        <v>2304</v>
      </c>
      <c r="F34" s="633"/>
      <c r="G34" s="633"/>
      <c r="H34" s="633">
        <v>50</v>
      </c>
      <c r="I34" s="633"/>
      <c r="J34" s="633"/>
      <c r="K34" s="633"/>
    </row>
    <row r="35" spans="1:11" s="156" customFormat="1" ht="12" customHeight="1" x14ac:dyDescent="0.25">
      <c r="A35" s="633">
        <v>29</v>
      </c>
      <c r="B35" s="160" t="s">
        <v>72</v>
      </c>
      <c r="C35" s="163" t="s">
        <v>73</v>
      </c>
      <c r="D35" s="162">
        <f t="shared" si="0"/>
        <v>0</v>
      </c>
      <c r="E35" s="164">
        <v>0</v>
      </c>
      <c r="F35" s="633"/>
      <c r="G35" s="633"/>
      <c r="H35" s="633"/>
      <c r="I35" s="633"/>
      <c r="J35" s="633"/>
      <c r="K35" s="633"/>
    </row>
    <row r="36" spans="1:11" s="156" customFormat="1" ht="24" x14ac:dyDescent="0.25">
      <c r="A36" s="633">
        <v>30</v>
      </c>
      <c r="B36" s="160" t="s">
        <v>74</v>
      </c>
      <c r="C36" s="169" t="s">
        <v>377</v>
      </c>
      <c r="D36" s="162">
        <f t="shared" si="0"/>
        <v>0</v>
      </c>
      <c r="E36" s="170">
        <v>0</v>
      </c>
      <c r="F36" s="633"/>
      <c r="G36" s="633"/>
      <c r="H36" s="633"/>
      <c r="I36" s="633"/>
      <c r="J36" s="633"/>
      <c r="K36" s="633"/>
    </row>
    <row r="37" spans="1:11" s="156" customFormat="1" x14ac:dyDescent="0.25">
      <c r="A37" s="633">
        <v>31</v>
      </c>
      <c r="B37" s="160" t="s">
        <v>75</v>
      </c>
      <c r="C37" s="163" t="s">
        <v>76</v>
      </c>
      <c r="D37" s="162">
        <f t="shared" si="0"/>
        <v>449</v>
      </c>
      <c r="E37" s="164">
        <v>449</v>
      </c>
      <c r="F37" s="633"/>
      <c r="G37" s="633"/>
      <c r="H37" s="633"/>
      <c r="I37" s="633"/>
      <c r="J37" s="633"/>
      <c r="K37" s="633"/>
    </row>
    <row r="38" spans="1:11" s="156" customFormat="1" x14ac:dyDescent="0.25">
      <c r="A38" s="633">
        <v>32</v>
      </c>
      <c r="B38" s="165" t="s">
        <v>77</v>
      </c>
      <c r="C38" s="166" t="s">
        <v>78</v>
      </c>
      <c r="D38" s="162">
        <f t="shared" si="0"/>
        <v>4317</v>
      </c>
      <c r="E38" s="167">
        <v>4317</v>
      </c>
      <c r="F38" s="633"/>
      <c r="G38" s="633"/>
      <c r="H38" s="633">
        <v>7</v>
      </c>
      <c r="I38" s="633"/>
      <c r="J38" s="633"/>
      <c r="K38" s="633"/>
    </row>
    <row r="39" spans="1:11" s="156" customFormat="1" x14ac:dyDescent="0.25">
      <c r="A39" s="633">
        <v>33</v>
      </c>
      <c r="B39" s="160" t="s">
        <v>79</v>
      </c>
      <c r="C39" s="163" t="s">
        <v>80</v>
      </c>
      <c r="D39" s="162">
        <f t="shared" si="0"/>
        <v>6393</v>
      </c>
      <c r="E39" s="164">
        <v>6393</v>
      </c>
      <c r="F39" s="633"/>
      <c r="G39" s="633"/>
      <c r="H39" s="633">
        <v>7</v>
      </c>
      <c r="I39" s="633"/>
      <c r="J39" s="633"/>
      <c r="K39" s="633"/>
    </row>
    <row r="40" spans="1:11" s="156" customFormat="1" x14ac:dyDescent="0.25">
      <c r="A40" s="633">
        <v>34</v>
      </c>
      <c r="B40" s="168" t="s">
        <v>81</v>
      </c>
      <c r="C40" s="169" t="s">
        <v>82</v>
      </c>
      <c r="D40" s="162">
        <f t="shared" si="0"/>
        <v>1257</v>
      </c>
      <c r="E40" s="170">
        <v>1257</v>
      </c>
      <c r="F40" s="633"/>
      <c r="G40" s="633"/>
      <c r="H40" s="633"/>
      <c r="I40" s="633"/>
      <c r="J40" s="633"/>
      <c r="K40" s="633"/>
    </row>
    <row r="41" spans="1:11" s="156" customFormat="1" x14ac:dyDescent="0.25">
      <c r="A41" s="633">
        <v>35</v>
      </c>
      <c r="B41" s="160" t="s">
        <v>83</v>
      </c>
      <c r="C41" s="163" t="s">
        <v>84</v>
      </c>
      <c r="D41" s="162">
        <f t="shared" si="0"/>
        <v>4228</v>
      </c>
      <c r="E41" s="164">
        <v>4228</v>
      </c>
      <c r="F41" s="633"/>
      <c r="G41" s="633"/>
      <c r="H41" s="633">
        <v>10</v>
      </c>
      <c r="I41" s="633"/>
      <c r="J41" s="633"/>
      <c r="K41" s="633">
        <v>510</v>
      </c>
    </row>
    <row r="42" spans="1:11" s="156" customFormat="1" x14ac:dyDescent="0.25">
      <c r="A42" s="633">
        <v>36</v>
      </c>
      <c r="B42" s="160" t="s">
        <v>85</v>
      </c>
      <c r="C42" s="163" t="s">
        <v>86</v>
      </c>
      <c r="D42" s="162">
        <f t="shared" si="0"/>
        <v>1636</v>
      </c>
      <c r="E42" s="164">
        <v>1636</v>
      </c>
      <c r="F42" s="633"/>
      <c r="G42" s="633"/>
      <c r="H42" s="633">
        <v>0</v>
      </c>
      <c r="I42" s="633"/>
      <c r="J42" s="633"/>
      <c r="K42" s="633"/>
    </row>
    <row r="43" spans="1:11" s="156" customFormat="1" x14ac:dyDescent="0.25">
      <c r="A43" s="633">
        <v>37</v>
      </c>
      <c r="B43" s="165" t="s">
        <v>87</v>
      </c>
      <c r="C43" s="166" t="s">
        <v>88</v>
      </c>
      <c r="D43" s="162">
        <f t="shared" si="0"/>
        <v>4367</v>
      </c>
      <c r="E43" s="167">
        <v>4367</v>
      </c>
      <c r="F43" s="633"/>
      <c r="G43" s="633"/>
      <c r="H43" s="633">
        <v>10</v>
      </c>
      <c r="I43" s="633"/>
      <c r="J43" s="633"/>
      <c r="K43" s="633"/>
    </row>
    <row r="44" spans="1:11" s="156" customFormat="1" x14ac:dyDescent="0.25">
      <c r="A44" s="633">
        <v>38</v>
      </c>
      <c r="B44" s="160" t="s">
        <v>89</v>
      </c>
      <c r="C44" s="163" t="s">
        <v>90</v>
      </c>
      <c r="D44" s="162">
        <f t="shared" si="0"/>
        <v>1485</v>
      </c>
      <c r="E44" s="164">
        <v>1485</v>
      </c>
      <c r="F44" s="633"/>
      <c r="G44" s="633"/>
      <c r="H44" s="633"/>
      <c r="I44" s="633"/>
      <c r="J44" s="633"/>
      <c r="K44" s="633"/>
    </row>
    <row r="45" spans="1:11" s="156" customFormat="1" x14ac:dyDescent="0.25">
      <c r="A45" s="633">
        <v>39</v>
      </c>
      <c r="B45" s="160" t="s">
        <v>91</v>
      </c>
      <c r="C45" s="163" t="s">
        <v>92</v>
      </c>
      <c r="D45" s="162">
        <f t="shared" si="0"/>
        <v>914</v>
      </c>
      <c r="E45" s="164">
        <v>914</v>
      </c>
      <c r="F45" s="633"/>
      <c r="G45" s="633"/>
      <c r="H45" s="633"/>
      <c r="I45" s="633"/>
      <c r="J45" s="633"/>
      <c r="K45" s="633"/>
    </row>
    <row r="46" spans="1:11" s="156" customFormat="1" x14ac:dyDescent="0.25">
      <c r="A46" s="633">
        <v>40</v>
      </c>
      <c r="B46" s="173" t="s">
        <v>93</v>
      </c>
      <c r="C46" s="174" t="s">
        <v>94</v>
      </c>
      <c r="D46" s="162">
        <f t="shared" si="0"/>
        <v>1617</v>
      </c>
      <c r="E46" s="175">
        <v>1617</v>
      </c>
      <c r="F46" s="633"/>
      <c r="G46" s="633"/>
      <c r="H46" s="633">
        <v>0</v>
      </c>
      <c r="I46" s="633"/>
      <c r="J46" s="633"/>
      <c r="K46" s="633"/>
    </row>
    <row r="47" spans="1:11" s="156" customFormat="1" x14ac:dyDescent="0.25">
      <c r="A47" s="633">
        <v>41</v>
      </c>
      <c r="B47" s="160" t="s">
        <v>95</v>
      </c>
      <c r="C47" s="163" t="s">
        <v>96</v>
      </c>
      <c r="D47" s="162">
        <f t="shared" si="0"/>
        <v>739</v>
      </c>
      <c r="E47" s="164">
        <v>739</v>
      </c>
      <c r="F47" s="633"/>
      <c r="G47" s="633"/>
      <c r="H47" s="633"/>
      <c r="I47" s="633"/>
      <c r="J47" s="633"/>
      <c r="K47" s="633"/>
    </row>
    <row r="48" spans="1:11" s="156" customFormat="1" x14ac:dyDescent="0.25">
      <c r="A48" s="633">
        <v>42</v>
      </c>
      <c r="B48" s="168" t="s">
        <v>97</v>
      </c>
      <c r="C48" s="169" t="s">
        <v>98</v>
      </c>
      <c r="D48" s="162">
        <f t="shared" si="0"/>
        <v>340</v>
      </c>
      <c r="E48" s="170">
        <v>340</v>
      </c>
      <c r="F48" s="633"/>
      <c r="G48" s="633"/>
      <c r="H48" s="633"/>
      <c r="I48" s="633">
        <v>100</v>
      </c>
      <c r="J48" s="633"/>
      <c r="K48" s="633"/>
    </row>
    <row r="49" spans="1:11" s="156" customFormat="1" x14ac:dyDescent="0.25">
      <c r="A49" s="633">
        <v>43</v>
      </c>
      <c r="B49" s="165" t="s">
        <v>99</v>
      </c>
      <c r="C49" s="166" t="s">
        <v>100</v>
      </c>
      <c r="D49" s="162">
        <f t="shared" si="0"/>
        <v>5486</v>
      </c>
      <c r="E49" s="167">
        <v>5486</v>
      </c>
      <c r="F49" s="633"/>
      <c r="G49" s="633"/>
      <c r="H49" s="633">
        <v>18</v>
      </c>
      <c r="I49" s="633"/>
      <c r="J49" s="633"/>
      <c r="K49" s="633">
        <v>300</v>
      </c>
    </row>
    <row r="50" spans="1:11" s="156" customFormat="1" x14ac:dyDescent="0.25">
      <c r="A50" s="633">
        <v>44</v>
      </c>
      <c r="B50" s="160" t="s">
        <v>101</v>
      </c>
      <c r="C50" s="163" t="s">
        <v>102</v>
      </c>
      <c r="D50" s="162">
        <f t="shared" si="0"/>
        <v>1349</v>
      </c>
      <c r="E50" s="164">
        <v>1349</v>
      </c>
      <c r="F50" s="633"/>
      <c r="G50" s="633"/>
      <c r="H50" s="633"/>
      <c r="I50" s="633"/>
      <c r="J50" s="633"/>
      <c r="K50" s="633"/>
    </row>
    <row r="51" spans="1:11" s="156" customFormat="1" x14ac:dyDescent="0.25">
      <c r="A51" s="633">
        <v>45</v>
      </c>
      <c r="B51" s="165" t="s">
        <v>103</v>
      </c>
      <c r="C51" s="166" t="s">
        <v>104</v>
      </c>
      <c r="D51" s="162">
        <f t="shared" si="0"/>
        <v>4586</v>
      </c>
      <c r="E51" s="167">
        <v>4586</v>
      </c>
      <c r="F51" s="633"/>
      <c r="G51" s="633"/>
      <c r="H51" s="633">
        <v>0</v>
      </c>
      <c r="I51" s="633"/>
      <c r="J51" s="633"/>
      <c r="K51" s="633"/>
    </row>
    <row r="52" spans="1:11" s="156" customFormat="1" x14ac:dyDescent="0.25">
      <c r="A52" s="633">
        <v>46</v>
      </c>
      <c r="B52" s="160" t="s">
        <v>105</v>
      </c>
      <c r="C52" s="163" t="s">
        <v>106</v>
      </c>
      <c r="D52" s="162">
        <f t="shared" si="0"/>
        <v>1009</v>
      </c>
      <c r="E52" s="164">
        <v>1009</v>
      </c>
      <c r="F52" s="633"/>
      <c r="G52" s="633"/>
      <c r="H52" s="633"/>
      <c r="I52" s="633"/>
      <c r="J52" s="633"/>
      <c r="K52" s="633"/>
    </row>
    <row r="53" spans="1:11" s="156" customFormat="1" ht="10.5" customHeight="1" x14ac:dyDescent="0.25">
      <c r="A53" s="633">
        <v>47</v>
      </c>
      <c r="B53" s="160" t="s">
        <v>107</v>
      </c>
      <c r="C53" s="163" t="s">
        <v>108</v>
      </c>
      <c r="D53" s="162">
        <f t="shared" si="0"/>
        <v>1579</v>
      </c>
      <c r="E53" s="164">
        <v>1579</v>
      </c>
      <c r="F53" s="633"/>
      <c r="G53" s="633"/>
      <c r="H53" s="633"/>
      <c r="I53" s="633"/>
      <c r="J53" s="633"/>
      <c r="K53" s="633"/>
    </row>
    <row r="54" spans="1:11" s="156" customFormat="1" x14ac:dyDescent="0.25">
      <c r="A54" s="633">
        <v>48</v>
      </c>
      <c r="B54" s="176" t="s">
        <v>109</v>
      </c>
      <c r="C54" s="636" t="s">
        <v>110</v>
      </c>
      <c r="D54" s="162">
        <f t="shared" si="0"/>
        <v>1903</v>
      </c>
      <c r="E54" s="637">
        <v>1903</v>
      </c>
      <c r="F54" s="633"/>
      <c r="G54" s="633"/>
      <c r="H54" s="633"/>
      <c r="I54" s="633"/>
      <c r="J54" s="633"/>
      <c r="K54" s="633"/>
    </row>
    <row r="55" spans="1:11" s="156" customFormat="1" x14ac:dyDescent="0.25">
      <c r="A55" s="633">
        <v>49</v>
      </c>
      <c r="B55" s="165" t="s">
        <v>111</v>
      </c>
      <c r="C55" s="166" t="s">
        <v>112</v>
      </c>
      <c r="D55" s="162">
        <f t="shared" si="0"/>
        <v>640</v>
      </c>
      <c r="E55" s="167">
        <v>640</v>
      </c>
      <c r="F55" s="633"/>
      <c r="G55" s="633"/>
      <c r="H55" s="633"/>
      <c r="I55" s="633"/>
      <c r="J55" s="633"/>
      <c r="K55" s="633"/>
    </row>
    <row r="56" spans="1:11" s="156" customFormat="1" x14ac:dyDescent="0.25">
      <c r="A56" s="633">
        <v>50</v>
      </c>
      <c r="B56" s="160" t="s">
        <v>113</v>
      </c>
      <c r="C56" s="163" t="s">
        <v>114</v>
      </c>
      <c r="D56" s="162">
        <f t="shared" si="0"/>
        <v>1275</v>
      </c>
      <c r="E56" s="164">
        <v>1275</v>
      </c>
      <c r="F56" s="633"/>
      <c r="G56" s="633"/>
      <c r="H56" s="633"/>
      <c r="I56" s="633"/>
      <c r="J56" s="633"/>
      <c r="K56" s="633"/>
    </row>
    <row r="57" spans="1:11" s="156" customFormat="1" ht="10.5" customHeight="1" x14ac:dyDescent="0.25">
      <c r="A57" s="633">
        <v>51</v>
      </c>
      <c r="B57" s="165" t="s">
        <v>115</v>
      </c>
      <c r="C57" s="166" t="s">
        <v>116</v>
      </c>
      <c r="D57" s="162">
        <f t="shared" si="0"/>
        <v>1918</v>
      </c>
      <c r="E57" s="167">
        <v>1918</v>
      </c>
      <c r="F57" s="633"/>
      <c r="G57" s="633"/>
      <c r="H57" s="633"/>
      <c r="I57" s="633"/>
      <c r="J57" s="633"/>
      <c r="K57" s="633"/>
    </row>
    <row r="58" spans="1:11" s="156" customFormat="1" x14ac:dyDescent="0.25">
      <c r="A58" s="633">
        <v>52</v>
      </c>
      <c r="B58" s="160" t="s">
        <v>117</v>
      </c>
      <c r="C58" s="163" t="s">
        <v>118</v>
      </c>
      <c r="D58" s="162">
        <f t="shared" si="0"/>
        <v>6790</v>
      </c>
      <c r="E58" s="164">
        <v>6790</v>
      </c>
      <c r="F58" s="633"/>
      <c r="G58" s="633"/>
      <c r="H58" s="633">
        <v>10</v>
      </c>
      <c r="I58" s="633"/>
      <c r="J58" s="633"/>
      <c r="K58" s="633"/>
    </row>
    <row r="59" spans="1:11" s="156" customFormat="1" x14ac:dyDescent="0.25">
      <c r="A59" s="633">
        <v>53</v>
      </c>
      <c r="B59" s="165" t="s">
        <v>119</v>
      </c>
      <c r="C59" s="166" t="s">
        <v>120</v>
      </c>
      <c r="D59" s="162">
        <f t="shared" si="0"/>
        <v>1052</v>
      </c>
      <c r="E59" s="167">
        <v>1052</v>
      </c>
      <c r="F59" s="633"/>
      <c r="G59" s="633"/>
      <c r="H59" s="633"/>
      <c r="I59" s="633"/>
      <c r="J59" s="633"/>
      <c r="K59" s="633"/>
    </row>
    <row r="60" spans="1:11" s="156" customFormat="1" x14ac:dyDescent="0.25">
      <c r="A60" s="633">
        <v>54</v>
      </c>
      <c r="B60" s="165" t="s">
        <v>121</v>
      </c>
      <c r="C60" s="166" t="s">
        <v>122</v>
      </c>
      <c r="D60" s="162">
        <f t="shared" si="0"/>
        <v>5</v>
      </c>
      <c r="E60" s="167">
        <v>5</v>
      </c>
      <c r="F60" s="633"/>
      <c r="G60" s="633"/>
      <c r="H60" s="633"/>
      <c r="I60" s="633"/>
      <c r="J60" s="633"/>
      <c r="K60" s="633"/>
    </row>
    <row r="61" spans="1:11" s="156" customFormat="1" x14ac:dyDescent="0.25">
      <c r="A61" s="633">
        <v>55</v>
      </c>
      <c r="B61" s="165" t="s">
        <v>123</v>
      </c>
      <c r="C61" s="166" t="s">
        <v>124</v>
      </c>
      <c r="D61" s="162">
        <f t="shared" si="0"/>
        <v>0</v>
      </c>
      <c r="E61" s="167">
        <v>0</v>
      </c>
      <c r="F61" s="633"/>
      <c r="G61" s="633"/>
      <c r="H61" s="633"/>
      <c r="I61" s="633"/>
      <c r="J61" s="633"/>
      <c r="K61" s="633"/>
    </row>
    <row r="62" spans="1:11" s="156" customFormat="1" x14ac:dyDescent="0.25">
      <c r="A62" s="633">
        <v>56</v>
      </c>
      <c r="B62" s="165">
        <v>29179</v>
      </c>
      <c r="C62" s="166" t="s">
        <v>126</v>
      </c>
      <c r="D62" s="162">
        <f t="shared" si="0"/>
        <v>0</v>
      </c>
      <c r="E62" s="167">
        <v>0</v>
      </c>
      <c r="F62" s="633"/>
      <c r="G62" s="633"/>
      <c r="H62" s="633"/>
      <c r="I62" s="633"/>
      <c r="J62" s="633"/>
      <c r="K62" s="633">
        <v>360</v>
      </c>
    </row>
    <row r="63" spans="1:11" s="156" customFormat="1" ht="12" customHeight="1" x14ac:dyDescent="0.25">
      <c r="A63" s="633">
        <v>57</v>
      </c>
      <c r="B63" s="165" t="s">
        <v>127</v>
      </c>
      <c r="C63" s="166" t="s">
        <v>128</v>
      </c>
      <c r="D63" s="162">
        <f t="shared" si="0"/>
        <v>2130</v>
      </c>
      <c r="E63" s="167">
        <v>2130</v>
      </c>
      <c r="F63" s="633"/>
      <c r="G63" s="633"/>
      <c r="H63" s="633"/>
      <c r="I63" s="633"/>
      <c r="J63" s="633"/>
      <c r="K63" s="633"/>
    </row>
    <row r="64" spans="1:11" s="156" customFormat="1" ht="12.75" customHeight="1" x14ac:dyDescent="0.25">
      <c r="A64" s="633">
        <v>58</v>
      </c>
      <c r="B64" s="165" t="s">
        <v>129</v>
      </c>
      <c r="C64" s="166" t="s">
        <v>460</v>
      </c>
      <c r="D64" s="162">
        <f t="shared" si="0"/>
        <v>1691</v>
      </c>
      <c r="E64" s="167">
        <v>1691</v>
      </c>
      <c r="F64" s="633"/>
      <c r="G64" s="633"/>
      <c r="H64" s="633"/>
      <c r="I64" s="633"/>
      <c r="J64" s="633"/>
      <c r="K64" s="633"/>
    </row>
    <row r="65" spans="1:11" s="156" customFormat="1" ht="11.25" customHeight="1" x14ac:dyDescent="0.25">
      <c r="A65" s="633">
        <v>59</v>
      </c>
      <c r="B65" s="165" t="s">
        <v>131</v>
      </c>
      <c r="C65" s="166" t="s">
        <v>461</v>
      </c>
      <c r="D65" s="162">
        <f t="shared" si="0"/>
        <v>2405</v>
      </c>
      <c r="E65" s="167">
        <v>2405</v>
      </c>
      <c r="F65" s="633"/>
      <c r="G65" s="633"/>
      <c r="H65" s="633"/>
      <c r="I65" s="633"/>
      <c r="J65" s="633"/>
      <c r="K65" s="633"/>
    </row>
    <row r="66" spans="1:11" s="156" customFormat="1" ht="11.25" customHeight="1" x14ac:dyDescent="0.25">
      <c r="A66" s="633">
        <v>60</v>
      </c>
      <c r="B66" s="160" t="s">
        <v>133</v>
      </c>
      <c r="C66" s="166" t="s">
        <v>299</v>
      </c>
      <c r="D66" s="162">
        <f t="shared" si="0"/>
        <v>3043</v>
      </c>
      <c r="E66" s="167">
        <v>3043</v>
      </c>
      <c r="F66" s="633"/>
      <c r="G66" s="633"/>
      <c r="H66" s="633"/>
      <c r="I66" s="633"/>
      <c r="J66" s="633"/>
      <c r="K66" s="633"/>
    </row>
    <row r="67" spans="1:11" s="156" customFormat="1" ht="11.25" customHeight="1" x14ac:dyDescent="0.25">
      <c r="A67" s="633">
        <v>61</v>
      </c>
      <c r="B67" s="168" t="s">
        <v>135</v>
      </c>
      <c r="C67" s="166" t="s">
        <v>462</v>
      </c>
      <c r="D67" s="162">
        <f t="shared" si="0"/>
        <v>1222</v>
      </c>
      <c r="E67" s="167">
        <v>1222</v>
      </c>
      <c r="F67" s="633"/>
      <c r="G67" s="633"/>
      <c r="H67" s="633"/>
      <c r="I67" s="633"/>
      <c r="J67" s="633"/>
      <c r="K67" s="633"/>
    </row>
    <row r="68" spans="1:11" s="156" customFormat="1" ht="28.5" customHeight="1" x14ac:dyDescent="0.25">
      <c r="A68" s="633">
        <v>62</v>
      </c>
      <c r="B68" s="160" t="s">
        <v>137</v>
      </c>
      <c r="C68" s="166" t="s">
        <v>645</v>
      </c>
      <c r="D68" s="162">
        <f t="shared" si="0"/>
        <v>0</v>
      </c>
      <c r="E68" s="167">
        <v>0</v>
      </c>
      <c r="F68" s="633"/>
      <c r="G68" s="633"/>
      <c r="H68" s="633"/>
      <c r="I68" s="633"/>
      <c r="J68" s="633"/>
      <c r="K68" s="633"/>
    </row>
    <row r="69" spans="1:11" s="156" customFormat="1" ht="28.5" customHeight="1" x14ac:dyDescent="0.25">
      <c r="A69" s="633">
        <v>63</v>
      </c>
      <c r="B69" s="165" t="s">
        <v>139</v>
      </c>
      <c r="C69" s="166" t="s">
        <v>646</v>
      </c>
      <c r="D69" s="162">
        <f t="shared" si="0"/>
        <v>0</v>
      </c>
      <c r="E69" s="167">
        <v>0</v>
      </c>
      <c r="F69" s="633"/>
      <c r="G69" s="633"/>
      <c r="H69" s="633"/>
      <c r="I69" s="633"/>
      <c r="J69" s="633"/>
      <c r="K69" s="633"/>
    </row>
    <row r="70" spans="1:11" s="156" customFormat="1" ht="11.25" customHeight="1" x14ac:dyDescent="0.25">
      <c r="A70" s="633">
        <v>64</v>
      </c>
      <c r="B70" s="160" t="s">
        <v>141</v>
      </c>
      <c r="C70" s="166" t="s">
        <v>457</v>
      </c>
      <c r="D70" s="162">
        <f t="shared" si="0"/>
        <v>3980</v>
      </c>
      <c r="E70" s="167">
        <v>3980</v>
      </c>
      <c r="F70" s="633"/>
      <c r="G70" s="633"/>
      <c r="H70" s="633"/>
      <c r="I70" s="633"/>
      <c r="J70" s="633"/>
      <c r="K70" s="633"/>
    </row>
    <row r="71" spans="1:11" s="156" customFormat="1" ht="11.25" customHeight="1" x14ac:dyDescent="0.25">
      <c r="A71" s="633">
        <v>65</v>
      </c>
      <c r="B71" s="160" t="s">
        <v>143</v>
      </c>
      <c r="C71" s="166" t="s">
        <v>144</v>
      </c>
      <c r="D71" s="162">
        <f t="shared" ref="D71:D134" si="1">E71+J71</f>
        <v>2375</v>
      </c>
      <c r="E71" s="167">
        <v>2375</v>
      </c>
      <c r="F71" s="633"/>
      <c r="G71" s="633"/>
      <c r="H71" s="633"/>
      <c r="I71" s="633"/>
      <c r="J71" s="633"/>
      <c r="K71" s="633">
        <v>300</v>
      </c>
    </row>
    <row r="72" spans="1:11" s="156" customFormat="1" x14ac:dyDescent="0.25">
      <c r="A72" s="633">
        <v>66</v>
      </c>
      <c r="B72" s="160" t="s">
        <v>145</v>
      </c>
      <c r="C72" s="166" t="s">
        <v>458</v>
      </c>
      <c r="D72" s="162">
        <f t="shared" si="1"/>
        <v>5695</v>
      </c>
      <c r="E72" s="167">
        <v>5695</v>
      </c>
      <c r="F72" s="633">
        <v>32</v>
      </c>
      <c r="G72" s="633"/>
      <c r="H72" s="633"/>
      <c r="I72" s="633"/>
      <c r="J72" s="633"/>
      <c r="K72" s="633"/>
    </row>
    <row r="73" spans="1:11" s="156" customFormat="1" ht="24" x14ac:dyDescent="0.25">
      <c r="A73" s="633">
        <v>67</v>
      </c>
      <c r="B73" s="160" t="s">
        <v>147</v>
      </c>
      <c r="C73" s="166" t="s">
        <v>647</v>
      </c>
      <c r="D73" s="162">
        <f t="shared" si="1"/>
        <v>0</v>
      </c>
      <c r="E73" s="167">
        <v>0</v>
      </c>
      <c r="F73" s="633"/>
      <c r="G73" s="633"/>
      <c r="H73" s="633"/>
      <c r="I73" s="633"/>
      <c r="J73" s="633"/>
      <c r="K73" s="633"/>
    </row>
    <row r="74" spans="1:11" s="156" customFormat="1" ht="24" x14ac:dyDescent="0.25">
      <c r="A74" s="633">
        <v>68</v>
      </c>
      <c r="B74" s="160" t="s">
        <v>149</v>
      </c>
      <c r="C74" s="166" t="s">
        <v>464</v>
      </c>
      <c r="D74" s="162">
        <f t="shared" si="1"/>
        <v>0</v>
      </c>
      <c r="E74" s="167">
        <v>0</v>
      </c>
      <c r="F74" s="633"/>
      <c r="G74" s="633"/>
      <c r="H74" s="633"/>
      <c r="I74" s="633"/>
      <c r="J74" s="633"/>
      <c r="K74" s="633"/>
    </row>
    <row r="75" spans="1:11" s="156" customFormat="1" ht="24" x14ac:dyDescent="0.25">
      <c r="A75" s="633">
        <v>69</v>
      </c>
      <c r="B75" s="160" t="s">
        <v>151</v>
      </c>
      <c r="C75" s="166" t="s">
        <v>648</v>
      </c>
      <c r="D75" s="162">
        <f t="shared" si="1"/>
        <v>0</v>
      </c>
      <c r="E75" s="167">
        <v>0</v>
      </c>
      <c r="F75" s="633"/>
      <c r="G75" s="633"/>
      <c r="H75" s="633"/>
      <c r="I75" s="633"/>
      <c r="J75" s="633"/>
      <c r="K75" s="633"/>
    </row>
    <row r="76" spans="1:11" s="156" customFormat="1" ht="24" x14ac:dyDescent="0.25">
      <c r="A76" s="633">
        <v>70</v>
      </c>
      <c r="B76" s="160" t="s">
        <v>153</v>
      </c>
      <c r="C76" s="166" t="s">
        <v>649</v>
      </c>
      <c r="D76" s="162">
        <f t="shared" si="1"/>
        <v>0</v>
      </c>
      <c r="E76" s="167">
        <v>0</v>
      </c>
      <c r="F76" s="633"/>
      <c r="G76" s="633"/>
      <c r="H76" s="633"/>
      <c r="I76" s="633"/>
      <c r="J76" s="633"/>
      <c r="K76" s="633"/>
    </row>
    <row r="77" spans="1:11" s="156" customFormat="1" ht="24" x14ac:dyDescent="0.25">
      <c r="A77" s="633">
        <v>71</v>
      </c>
      <c r="B77" s="165" t="s">
        <v>155</v>
      </c>
      <c r="C77" s="166" t="s">
        <v>650</v>
      </c>
      <c r="D77" s="162">
        <f t="shared" si="1"/>
        <v>0</v>
      </c>
      <c r="E77" s="167">
        <v>0</v>
      </c>
      <c r="F77" s="633"/>
      <c r="G77" s="633"/>
      <c r="H77" s="633"/>
      <c r="I77" s="633"/>
      <c r="J77" s="633"/>
      <c r="K77" s="633"/>
    </row>
    <row r="78" spans="1:11" s="156" customFormat="1" ht="24" x14ac:dyDescent="0.25">
      <c r="A78" s="633">
        <v>72</v>
      </c>
      <c r="B78" s="160" t="s">
        <v>157</v>
      </c>
      <c r="C78" s="163" t="s">
        <v>651</v>
      </c>
      <c r="D78" s="162">
        <f t="shared" si="1"/>
        <v>0</v>
      </c>
      <c r="E78" s="164">
        <v>0</v>
      </c>
      <c r="F78" s="633"/>
      <c r="G78" s="633"/>
      <c r="H78" s="633"/>
      <c r="I78" s="633"/>
      <c r="J78" s="633"/>
      <c r="K78" s="633"/>
    </row>
    <row r="79" spans="1:11" s="156" customFormat="1" ht="24" x14ac:dyDescent="0.25">
      <c r="A79" s="633">
        <v>73</v>
      </c>
      <c r="B79" s="165" t="s">
        <v>159</v>
      </c>
      <c r="C79" s="166" t="s">
        <v>652</v>
      </c>
      <c r="D79" s="162">
        <f t="shared" si="1"/>
        <v>0</v>
      </c>
      <c r="E79" s="167">
        <v>0</v>
      </c>
      <c r="F79" s="633"/>
      <c r="G79" s="633"/>
      <c r="H79" s="633"/>
      <c r="I79" s="633"/>
      <c r="J79" s="633"/>
      <c r="K79" s="633"/>
    </row>
    <row r="80" spans="1:11" s="156" customFormat="1" x14ac:dyDescent="0.25">
      <c r="A80" s="633">
        <v>74</v>
      </c>
      <c r="B80" s="160" t="s">
        <v>161</v>
      </c>
      <c r="C80" s="166" t="s">
        <v>162</v>
      </c>
      <c r="D80" s="162">
        <f t="shared" si="1"/>
        <v>4398</v>
      </c>
      <c r="E80" s="167">
        <v>4398</v>
      </c>
      <c r="F80" s="633"/>
      <c r="G80" s="633"/>
      <c r="H80" s="633"/>
      <c r="I80" s="633"/>
      <c r="J80" s="633"/>
      <c r="K80" s="633"/>
    </row>
    <row r="81" spans="1:11" s="156" customFormat="1" x14ac:dyDescent="0.25">
      <c r="A81" s="633">
        <v>75</v>
      </c>
      <c r="B81" s="165" t="s">
        <v>163</v>
      </c>
      <c r="C81" s="166" t="s">
        <v>459</v>
      </c>
      <c r="D81" s="162">
        <f t="shared" si="1"/>
        <v>7669</v>
      </c>
      <c r="E81" s="167">
        <v>7669</v>
      </c>
      <c r="F81" s="633"/>
      <c r="G81" s="633"/>
      <c r="H81" s="633"/>
      <c r="I81" s="633"/>
      <c r="J81" s="633"/>
      <c r="K81" s="633">
        <v>400</v>
      </c>
    </row>
    <row r="82" spans="1:11" s="156" customFormat="1" x14ac:dyDescent="0.25">
      <c r="A82" s="633">
        <v>76</v>
      </c>
      <c r="B82" s="165" t="s">
        <v>165</v>
      </c>
      <c r="C82" s="166" t="s">
        <v>166</v>
      </c>
      <c r="D82" s="162">
        <f t="shared" si="1"/>
        <v>5213</v>
      </c>
      <c r="E82" s="167">
        <v>5213</v>
      </c>
      <c r="F82" s="633"/>
      <c r="G82" s="633"/>
      <c r="H82" s="633"/>
      <c r="I82" s="633"/>
      <c r="J82" s="633"/>
      <c r="K82" s="633">
        <v>186</v>
      </c>
    </row>
    <row r="83" spans="1:11" s="156" customFormat="1" x14ac:dyDescent="0.25">
      <c r="A83" s="633">
        <v>77</v>
      </c>
      <c r="B83" s="177" t="s">
        <v>167</v>
      </c>
      <c r="C83" s="636" t="s">
        <v>168</v>
      </c>
      <c r="D83" s="162">
        <f t="shared" si="1"/>
        <v>1318</v>
      </c>
      <c r="E83" s="637">
        <v>1318</v>
      </c>
      <c r="F83" s="633"/>
      <c r="G83" s="633"/>
      <c r="H83" s="633"/>
      <c r="I83" s="633"/>
      <c r="J83" s="633"/>
      <c r="K83" s="633"/>
    </row>
    <row r="84" spans="1:11" s="156" customFormat="1" x14ac:dyDescent="0.25">
      <c r="A84" s="633">
        <v>78</v>
      </c>
      <c r="B84" s="160" t="s">
        <v>169</v>
      </c>
      <c r="C84" s="166" t="s">
        <v>170</v>
      </c>
      <c r="D84" s="162">
        <f t="shared" si="1"/>
        <v>7403</v>
      </c>
      <c r="E84" s="167">
        <v>7403</v>
      </c>
      <c r="F84" s="633">
        <v>475</v>
      </c>
      <c r="G84" s="633"/>
      <c r="H84" s="633"/>
      <c r="I84" s="633"/>
      <c r="J84" s="633"/>
      <c r="K84" s="633">
        <v>480</v>
      </c>
    </row>
    <row r="85" spans="1:11" s="156" customFormat="1" x14ac:dyDescent="0.25">
      <c r="A85" s="633">
        <v>79</v>
      </c>
      <c r="B85" s="160" t="s">
        <v>171</v>
      </c>
      <c r="C85" s="166" t="s">
        <v>172</v>
      </c>
      <c r="D85" s="162">
        <f t="shared" si="1"/>
        <v>1761</v>
      </c>
      <c r="E85" s="167">
        <v>1761</v>
      </c>
      <c r="F85" s="633"/>
      <c r="G85" s="633"/>
      <c r="H85" s="633"/>
      <c r="I85" s="633"/>
      <c r="J85" s="633"/>
      <c r="K85" s="633">
        <v>231</v>
      </c>
    </row>
    <row r="86" spans="1:11" s="156" customFormat="1" x14ac:dyDescent="0.25">
      <c r="A86" s="633">
        <v>80</v>
      </c>
      <c r="B86" s="160" t="s">
        <v>173</v>
      </c>
      <c r="C86" s="166" t="s">
        <v>622</v>
      </c>
      <c r="D86" s="162">
        <f t="shared" si="1"/>
        <v>5676</v>
      </c>
      <c r="E86" s="167">
        <v>5676</v>
      </c>
      <c r="F86" s="633"/>
      <c r="G86" s="633"/>
      <c r="H86" s="633"/>
      <c r="I86" s="633"/>
      <c r="J86" s="633"/>
      <c r="K86" s="633"/>
    </row>
    <row r="87" spans="1:11" s="156" customFormat="1" x14ac:dyDescent="0.25">
      <c r="A87" s="633">
        <v>81</v>
      </c>
      <c r="B87" s="160" t="s">
        <v>175</v>
      </c>
      <c r="C87" s="166" t="s">
        <v>754</v>
      </c>
      <c r="D87" s="162">
        <f t="shared" si="1"/>
        <v>677</v>
      </c>
      <c r="E87" s="167">
        <v>677</v>
      </c>
      <c r="F87" s="633"/>
      <c r="G87" s="633"/>
      <c r="H87" s="633"/>
      <c r="I87" s="633"/>
      <c r="J87" s="633"/>
      <c r="K87" s="633"/>
    </row>
    <row r="88" spans="1:11" s="156" customFormat="1" x14ac:dyDescent="0.25">
      <c r="A88" s="633">
        <v>82</v>
      </c>
      <c r="B88" s="160" t="s">
        <v>177</v>
      </c>
      <c r="C88" s="166" t="s">
        <v>653</v>
      </c>
      <c r="D88" s="162">
        <f t="shared" si="1"/>
        <v>0</v>
      </c>
      <c r="E88" s="167">
        <v>0</v>
      </c>
      <c r="F88" s="633"/>
      <c r="G88" s="633"/>
      <c r="H88" s="633"/>
      <c r="I88" s="633"/>
      <c r="J88" s="633"/>
      <c r="K88" s="633"/>
    </row>
    <row r="89" spans="1:11" s="156" customFormat="1" x14ac:dyDescent="0.25">
      <c r="A89" s="633">
        <v>83</v>
      </c>
      <c r="B89" s="160" t="s">
        <v>178</v>
      </c>
      <c r="C89" s="166" t="s">
        <v>324</v>
      </c>
      <c r="D89" s="162">
        <f t="shared" si="1"/>
        <v>5000</v>
      </c>
      <c r="E89" s="167">
        <v>5000</v>
      </c>
      <c r="F89" s="633"/>
      <c r="G89" s="633"/>
      <c r="H89" s="633"/>
      <c r="I89" s="633"/>
      <c r="J89" s="633"/>
      <c r="K89" s="633"/>
    </row>
    <row r="90" spans="1:11" s="156" customFormat="1" ht="27" customHeight="1" x14ac:dyDescent="0.25">
      <c r="A90" s="633">
        <v>84</v>
      </c>
      <c r="B90" s="165" t="s">
        <v>181</v>
      </c>
      <c r="C90" s="166" t="s">
        <v>182</v>
      </c>
      <c r="D90" s="162">
        <f t="shared" si="1"/>
        <v>0</v>
      </c>
      <c r="E90" s="167">
        <v>0</v>
      </c>
      <c r="F90" s="633"/>
      <c r="G90" s="633"/>
      <c r="H90" s="633"/>
      <c r="I90" s="633"/>
      <c r="J90" s="633"/>
      <c r="K90" s="633"/>
    </row>
    <row r="91" spans="1:11" s="156" customFormat="1" x14ac:dyDescent="0.25">
      <c r="A91" s="633">
        <v>85</v>
      </c>
      <c r="B91" s="160" t="s">
        <v>183</v>
      </c>
      <c r="C91" s="166" t="s">
        <v>184</v>
      </c>
      <c r="D91" s="162">
        <f t="shared" si="1"/>
        <v>95</v>
      </c>
      <c r="E91" s="167">
        <v>95</v>
      </c>
      <c r="F91" s="633"/>
      <c r="G91" s="633"/>
      <c r="H91" s="633"/>
      <c r="I91" s="633"/>
      <c r="J91" s="633"/>
      <c r="K91" s="633"/>
    </row>
    <row r="92" spans="1:11" s="156" customFormat="1" x14ac:dyDescent="0.25">
      <c r="A92" s="633">
        <v>86</v>
      </c>
      <c r="B92" s="165" t="s">
        <v>185</v>
      </c>
      <c r="C92" s="166" t="s">
        <v>186</v>
      </c>
      <c r="D92" s="162">
        <f t="shared" si="1"/>
        <v>1171</v>
      </c>
      <c r="E92" s="167">
        <v>1171</v>
      </c>
      <c r="F92" s="633"/>
      <c r="G92" s="633"/>
      <c r="H92" s="633"/>
      <c r="I92" s="633"/>
      <c r="J92" s="633"/>
      <c r="K92" s="633">
        <v>400</v>
      </c>
    </row>
    <row r="93" spans="1:11" s="156" customFormat="1" x14ac:dyDescent="0.25">
      <c r="A93" s="633">
        <v>87</v>
      </c>
      <c r="B93" s="168" t="s">
        <v>187</v>
      </c>
      <c r="C93" s="169" t="s">
        <v>188</v>
      </c>
      <c r="D93" s="162">
        <f t="shared" si="1"/>
        <v>897</v>
      </c>
      <c r="E93" s="170">
        <v>897</v>
      </c>
      <c r="F93" s="633"/>
      <c r="G93" s="633"/>
      <c r="H93" s="633"/>
      <c r="I93" s="633"/>
      <c r="J93" s="633"/>
      <c r="K93" s="633"/>
    </row>
    <row r="94" spans="1:11" s="156" customFormat="1" x14ac:dyDescent="0.25">
      <c r="A94" s="633">
        <v>88</v>
      </c>
      <c r="B94" s="160" t="s">
        <v>189</v>
      </c>
      <c r="C94" s="166" t="s">
        <v>190</v>
      </c>
      <c r="D94" s="162">
        <f t="shared" si="1"/>
        <v>912</v>
      </c>
      <c r="E94" s="167">
        <v>912</v>
      </c>
      <c r="F94" s="633"/>
      <c r="G94" s="633"/>
      <c r="H94" s="633"/>
      <c r="I94" s="633"/>
      <c r="J94" s="633"/>
      <c r="K94" s="633"/>
    </row>
    <row r="95" spans="1:11" s="156" customFormat="1" x14ac:dyDescent="0.25">
      <c r="A95" s="633">
        <v>89</v>
      </c>
      <c r="B95" s="160" t="s">
        <v>191</v>
      </c>
      <c r="C95" s="166" t="s">
        <v>192</v>
      </c>
      <c r="D95" s="162">
        <f t="shared" si="1"/>
        <v>2561</v>
      </c>
      <c r="E95" s="167">
        <v>2561</v>
      </c>
      <c r="F95" s="633"/>
      <c r="G95" s="633"/>
      <c r="H95" s="633"/>
      <c r="I95" s="633"/>
      <c r="J95" s="633"/>
      <c r="K95" s="633"/>
    </row>
    <row r="96" spans="1:11" s="156" customFormat="1" ht="13.5" customHeight="1" x14ac:dyDescent="0.25">
      <c r="A96" s="633">
        <v>90</v>
      </c>
      <c r="B96" s="168" t="s">
        <v>193</v>
      </c>
      <c r="C96" s="169" t="s">
        <v>194</v>
      </c>
      <c r="D96" s="162">
        <f t="shared" si="1"/>
        <v>1080</v>
      </c>
      <c r="E96" s="170">
        <v>1080</v>
      </c>
      <c r="F96" s="633"/>
      <c r="G96" s="633"/>
      <c r="H96" s="633"/>
      <c r="I96" s="633"/>
      <c r="J96" s="633"/>
      <c r="K96" s="633"/>
    </row>
    <row r="97" spans="1:11" s="156" customFormat="1" ht="14.25" customHeight="1" x14ac:dyDescent="0.25">
      <c r="A97" s="633">
        <v>91</v>
      </c>
      <c r="B97" s="160" t="s">
        <v>195</v>
      </c>
      <c r="C97" s="166" t="s">
        <v>196</v>
      </c>
      <c r="D97" s="162">
        <f t="shared" si="1"/>
        <v>1334</v>
      </c>
      <c r="E97" s="167">
        <v>1334</v>
      </c>
      <c r="F97" s="633"/>
      <c r="G97" s="633"/>
      <c r="H97" s="633"/>
      <c r="I97" s="633"/>
      <c r="J97" s="633"/>
      <c r="K97" s="633"/>
    </row>
    <row r="98" spans="1:11" s="156" customFormat="1" x14ac:dyDescent="0.25">
      <c r="A98" s="633">
        <v>92</v>
      </c>
      <c r="B98" s="168" t="s">
        <v>197</v>
      </c>
      <c r="C98" s="169" t="s">
        <v>198</v>
      </c>
      <c r="D98" s="162">
        <f t="shared" si="1"/>
        <v>3045</v>
      </c>
      <c r="E98" s="170">
        <v>3045</v>
      </c>
      <c r="F98" s="633"/>
      <c r="G98" s="633"/>
      <c r="H98" s="633"/>
      <c r="I98" s="633"/>
      <c r="J98" s="633"/>
      <c r="K98" s="633"/>
    </row>
    <row r="99" spans="1:11" s="156" customFormat="1" x14ac:dyDescent="0.25">
      <c r="A99" s="633">
        <v>93</v>
      </c>
      <c r="B99" s="160" t="s">
        <v>199</v>
      </c>
      <c r="C99" s="166" t="s">
        <v>200</v>
      </c>
      <c r="D99" s="162">
        <f t="shared" si="1"/>
        <v>2400</v>
      </c>
      <c r="E99" s="167">
        <v>2400</v>
      </c>
      <c r="F99" s="633"/>
      <c r="G99" s="633"/>
      <c r="H99" s="633"/>
      <c r="I99" s="633"/>
      <c r="J99" s="633"/>
      <c r="K99" s="633"/>
    </row>
    <row r="100" spans="1:11" s="156" customFormat="1" ht="12" customHeight="1" x14ac:dyDescent="0.25">
      <c r="A100" s="633">
        <v>94</v>
      </c>
      <c r="B100" s="165" t="s">
        <v>201</v>
      </c>
      <c r="C100" s="166" t="s">
        <v>202</v>
      </c>
      <c r="D100" s="162">
        <f t="shared" si="1"/>
        <v>832</v>
      </c>
      <c r="E100" s="167">
        <v>832</v>
      </c>
      <c r="F100" s="633"/>
      <c r="G100" s="633"/>
      <c r="H100" s="633"/>
      <c r="I100" s="633"/>
      <c r="J100" s="633"/>
      <c r="K100" s="633"/>
    </row>
    <row r="101" spans="1:11" s="156" customFormat="1" x14ac:dyDescent="0.25">
      <c r="A101" s="633">
        <v>95</v>
      </c>
      <c r="B101" s="160" t="s">
        <v>203</v>
      </c>
      <c r="C101" s="163" t="s">
        <v>204</v>
      </c>
      <c r="D101" s="162">
        <f t="shared" si="1"/>
        <v>1282</v>
      </c>
      <c r="E101" s="164">
        <v>1282</v>
      </c>
      <c r="F101" s="633"/>
      <c r="G101" s="633"/>
      <c r="H101" s="633"/>
      <c r="I101" s="633"/>
      <c r="J101" s="633"/>
      <c r="K101" s="633"/>
    </row>
    <row r="102" spans="1:11" s="156" customFormat="1" x14ac:dyDescent="0.25">
      <c r="A102" s="633">
        <v>96</v>
      </c>
      <c r="B102" s="160" t="s">
        <v>205</v>
      </c>
      <c r="C102" s="169" t="s">
        <v>206</v>
      </c>
      <c r="D102" s="162">
        <f t="shared" si="1"/>
        <v>1250</v>
      </c>
      <c r="E102" s="170">
        <v>1250</v>
      </c>
      <c r="F102" s="633"/>
      <c r="G102" s="633"/>
      <c r="H102" s="633"/>
      <c r="I102" s="633"/>
      <c r="J102" s="633"/>
      <c r="K102" s="633"/>
    </row>
    <row r="103" spans="1:11" s="156" customFormat="1" x14ac:dyDescent="0.25">
      <c r="A103" s="633">
        <v>97</v>
      </c>
      <c r="B103" s="165" t="s">
        <v>207</v>
      </c>
      <c r="C103" s="166" t="s">
        <v>208</v>
      </c>
      <c r="D103" s="162">
        <f t="shared" si="1"/>
        <v>1479</v>
      </c>
      <c r="E103" s="167">
        <v>1479</v>
      </c>
      <c r="F103" s="633">
        <v>7</v>
      </c>
      <c r="G103" s="633"/>
      <c r="H103" s="633">
        <v>7</v>
      </c>
      <c r="I103" s="633"/>
      <c r="J103" s="633"/>
      <c r="K103" s="633"/>
    </row>
    <row r="104" spans="1:11" s="156" customFormat="1" x14ac:dyDescent="0.25">
      <c r="A104" s="633">
        <v>98</v>
      </c>
      <c r="B104" s="160" t="s">
        <v>209</v>
      </c>
      <c r="C104" s="638" t="s">
        <v>210</v>
      </c>
      <c r="D104" s="162">
        <f t="shared" si="1"/>
        <v>970</v>
      </c>
      <c r="E104" s="639">
        <v>970</v>
      </c>
      <c r="F104" s="633"/>
      <c r="G104" s="633"/>
      <c r="H104" s="633"/>
      <c r="I104" s="633"/>
      <c r="J104" s="633"/>
      <c r="K104" s="633"/>
    </row>
    <row r="105" spans="1:11" s="156" customFormat="1" x14ac:dyDescent="0.25">
      <c r="A105" s="633">
        <v>99</v>
      </c>
      <c r="B105" s="165" t="s">
        <v>211</v>
      </c>
      <c r="C105" s="166" t="s">
        <v>212</v>
      </c>
      <c r="D105" s="162">
        <f t="shared" si="1"/>
        <v>1395</v>
      </c>
      <c r="E105" s="167">
        <v>1395</v>
      </c>
      <c r="F105" s="633"/>
      <c r="G105" s="633"/>
      <c r="H105" s="633">
        <v>0</v>
      </c>
      <c r="I105" s="633"/>
      <c r="J105" s="633"/>
      <c r="K105" s="633"/>
    </row>
    <row r="106" spans="1:11" s="156" customFormat="1" x14ac:dyDescent="0.25">
      <c r="A106" s="633">
        <v>100</v>
      </c>
      <c r="B106" s="165" t="s">
        <v>213</v>
      </c>
      <c r="C106" s="166" t="s">
        <v>214</v>
      </c>
      <c r="D106" s="162">
        <f t="shared" si="1"/>
        <v>2443</v>
      </c>
      <c r="E106" s="167">
        <v>2443</v>
      </c>
      <c r="F106" s="633"/>
      <c r="G106" s="633"/>
      <c r="H106" s="633">
        <v>0</v>
      </c>
      <c r="I106" s="633">
        <v>0</v>
      </c>
      <c r="J106" s="633"/>
      <c r="K106" s="633"/>
    </row>
    <row r="107" spans="1:11" s="156" customFormat="1" x14ac:dyDescent="0.25">
      <c r="A107" s="633">
        <v>101</v>
      </c>
      <c r="B107" s="160" t="s">
        <v>215</v>
      </c>
      <c r="C107" s="169" t="s">
        <v>216</v>
      </c>
      <c r="D107" s="162">
        <f t="shared" si="1"/>
        <v>1111</v>
      </c>
      <c r="E107" s="170">
        <v>1111</v>
      </c>
      <c r="F107" s="633"/>
      <c r="G107" s="633"/>
      <c r="H107" s="633"/>
      <c r="I107" s="633"/>
      <c r="J107" s="633"/>
      <c r="K107" s="633"/>
    </row>
    <row r="108" spans="1:11" s="156" customFormat="1" x14ac:dyDescent="0.25">
      <c r="A108" s="633">
        <v>102</v>
      </c>
      <c r="B108" s="160" t="s">
        <v>217</v>
      </c>
      <c r="C108" s="163" t="s">
        <v>218</v>
      </c>
      <c r="D108" s="162">
        <f t="shared" si="1"/>
        <v>0</v>
      </c>
      <c r="E108" s="164">
        <v>0</v>
      </c>
      <c r="F108" s="633"/>
      <c r="G108" s="633"/>
      <c r="H108" s="633"/>
      <c r="I108" s="633"/>
      <c r="J108" s="633"/>
      <c r="K108" s="633"/>
    </row>
    <row r="109" spans="1:11" s="156" customFormat="1" x14ac:dyDescent="0.25">
      <c r="A109" s="633">
        <v>103</v>
      </c>
      <c r="B109" s="160" t="s">
        <v>219</v>
      </c>
      <c r="C109" s="163" t="s">
        <v>220</v>
      </c>
      <c r="D109" s="162">
        <f t="shared" si="1"/>
        <v>690</v>
      </c>
      <c r="E109" s="164">
        <v>690</v>
      </c>
      <c r="F109" s="633"/>
      <c r="G109" s="633">
        <v>690</v>
      </c>
      <c r="H109" s="633"/>
      <c r="I109" s="633"/>
      <c r="J109" s="633"/>
      <c r="K109" s="633"/>
    </row>
    <row r="110" spans="1:11" s="156" customFormat="1" x14ac:dyDescent="0.25">
      <c r="A110" s="633">
        <v>104</v>
      </c>
      <c r="B110" s="160" t="s">
        <v>221</v>
      </c>
      <c r="C110" s="163" t="s">
        <v>222</v>
      </c>
      <c r="D110" s="162">
        <f t="shared" si="1"/>
        <v>0</v>
      </c>
      <c r="E110" s="633">
        <v>0</v>
      </c>
      <c r="F110" s="633"/>
      <c r="G110" s="633"/>
      <c r="H110" s="633"/>
      <c r="I110" s="633"/>
      <c r="J110" s="633"/>
      <c r="K110" s="633"/>
    </row>
    <row r="111" spans="1:11" s="156" customFormat="1" x14ac:dyDescent="0.25">
      <c r="A111" s="633">
        <v>105</v>
      </c>
      <c r="B111" s="165" t="s">
        <v>223</v>
      </c>
      <c r="C111" s="166" t="s">
        <v>224</v>
      </c>
      <c r="D111" s="162">
        <f t="shared" si="1"/>
        <v>5</v>
      </c>
      <c r="E111" s="167">
        <v>5</v>
      </c>
      <c r="F111" s="633"/>
      <c r="G111" s="633"/>
      <c r="H111" s="633"/>
      <c r="I111" s="633"/>
      <c r="J111" s="633"/>
      <c r="K111" s="633"/>
    </row>
    <row r="112" spans="1:11" s="156" customFormat="1" x14ac:dyDescent="0.25">
      <c r="A112" s="633">
        <v>106</v>
      </c>
      <c r="B112" s="168" t="s">
        <v>225</v>
      </c>
      <c r="C112" s="169" t="s">
        <v>226</v>
      </c>
      <c r="D112" s="162">
        <f t="shared" si="1"/>
        <v>5</v>
      </c>
      <c r="E112" s="170">
        <v>5</v>
      </c>
      <c r="F112" s="633"/>
      <c r="G112" s="633"/>
      <c r="H112" s="633"/>
      <c r="I112" s="633"/>
      <c r="J112" s="633"/>
      <c r="K112" s="633"/>
    </row>
    <row r="113" spans="1:11" s="156" customFormat="1" ht="24" customHeight="1" x14ac:dyDescent="0.25">
      <c r="A113" s="633">
        <v>107</v>
      </c>
      <c r="B113" s="160" t="s">
        <v>227</v>
      </c>
      <c r="C113" s="163" t="s">
        <v>228</v>
      </c>
      <c r="D113" s="162">
        <f t="shared" si="1"/>
        <v>5</v>
      </c>
      <c r="E113" s="164">
        <v>5</v>
      </c>
      <c r="F113" s="633"/>
      <c r="G113" s="633"/>
      <c r="H113" s="633"/>
      <c r="I113" s="633"/>
      <c r="J113" s="633"/>
      <c r="K113" s="633"/>
    </row>
    <row r="114" spans="1:11" s="156" customFormat="1" x14ac:dyDescent="0.25">
      <c r="A114" s="633">
        <v>108</v>
      </c>
      <c r="B114" s="160" t="s">
        <v>229</v>
      </c>
      <c r="C114" s="163" t="s">
        <v>230</v>
      </c>
      <c r="D114" s="162">
        <f t="shared" si="1"/>
        <v>0</v>
      </c>
      <c r="E114" s="633">
        <v>0</v>
      </c>
      <c r="F114" s="633"/>
      <c r="G114" s="633"/>
      <c r="H114" s="633"/>
      <c r="I114" s="633"/>
      <c r="J114" s="633"/>
      <c r="K114" s="633"/>
    </row>
    <row r="115" spans="1:11" s="156" customFormat="1" x14ac:dyDescent="0.25">
      <c r="A115" s="633">
        <v>109</v>
      </c>
      <c r="B115" s="165" t="s">
        <v>231</v>
      </c>
      <c r="C115" s="166" t="s">
        <v>232</v>
      </c>
      <c r="D115" s="162">
        <f t="shared" si="1"/>
        <v>427</v>
      </c>
      <c r="E115" s="167">
        <v>427</v>
      </c>
      <c r="F115" s="633"/>
      <c r="G115" s="633"/>
      <c r="H115" s="633"/>
      <c r="I115" s="633">
        <v>427</v>
      </c>
      <c r="J115" s="633"/>
      <c r="K115" s="633"/>
    </row>
    <row r="116" spans="1:11" s="156" customFormat="1" ht="12" customHeight="1" x14ac:dyDescent="0.25">
      <c r="A116" s="633">
        <v>110</v>
      </c>
      <c r="B116" s="165" t="s">
        <v>233</v>
      </c>
      <c r="C116" s="166" t="s">
        <v>234</v>
      </c>
      <c r="D116" s="162">
        <f t="shared" si="1"/>
        <v>0</v>
      </c>
      <c r="E116" s="633">
        <v>0</v>
      </c>
      <c r="F116" s="633"/>
      <c r="G116" s="633"/>
      <c r="H116" s="633"/>
      <c r="I116" s="633"/>
      <c r="J116" s="633"/>
      <c r="K116" s="633"/>
    </row>
    <row r="117" spans="1:11" s="156" customFormat="1" x14ac:dyDescent="0.25">
      <c r="A117" s="633">
        <v>111</v>
      </c>
      <c r="B117" s="178" t="s">
        <v>235</v>
      </c>
      <c r="C117" s="163" t="s">
        <v>236</v>
      </c>
      <c r="D117" s="162">
        <f t="shared" si="1"/>
        <v>0</v>
      </c>
      <c r="E117" s="633">
        <v>0</v>
      </c>
      <c r="F117" s="633"/>
      <c r="G117" s="633"/>
      <c r="H117" s="633"/>
      <c r="I117" s="633"/>
      <c r="J117" s="633"/>
      <c r="K117" s="633"/>
    </row>
    <row r="118" spans="1:11" s="156" customFormat="1" x14ac:dyDescent="0.25">
      <c r="A118" s="633">
        <v>112</v>
      </c>
      <c r="B118" s="160" t="s">
        <v>237</v>
      </c>
      <c r="C118" s="163" t="s">
        <v>238</v>
      </c>
      <c r="D118" s="162">
        <f t="shared" si="1"/>
        <v>402</v>
      </c>
      <c r="E118" s="164">
        <v>402</v>
      </c>
      <c r="F118" s="633">
        <v>51</v>
      </c>
      <c r="G118" s="633">
        <v>351</v>
      </c>
      <c r="H118" s="633"/>
      <c r="I118" s="633"/>
      <c r="J118" s="633"/>
      <c r="K118" s="633"/>
    </row>
    <row r="119" spans="1:11" s="156" customFormat="1" x14ac:dyDescent="0.25">
      <c r="A119" s="633">
        <v>113</v>
      </c>
      <c r="B119" s="160" t="s">
        <v>239</v>
      </c>
      <c r="C119" s="166" t="s">
        <v>240</v>
      </c>
      <c r="D119" s="162">
        <f t="shared" si="1"/>
        <v>0</v>
      </c>
      <c r="E119" s="633">
        <v>0</v>
      </c>
      <c r="F119" s="633"/>
      <c r="G119" s="633"/>
      <c r="H119" s="633"/>
      <c r="I119" s="633"/>
      <c r="J119" s="633"/>
      <c r="K119" s="633"/>
    </row>
    <row r="120" spans="1:11" s="156" customFormat="1" x14ac:dyDescent="0.25">
      <c r="A120" s="633">
        <v>114</v>
      </c>
      <c r="B120" s="160" t="s">
        <v>241</v>
      </c>
      <c r="C120" s="163" t="s">
        <v>242</v>
      </c>
      <c r="D120" s="162">
        <f t="shared" si="1"/>
        <v>134</v>
      </c>
      <c r="E120" s="164">
        <v>134</v>
      </c>
      <c r="F120" s="633"/>
      <c r="G120" s="633">
        <v>134</v>
      </c>
      <c r="H120" s="633"/>
      <c r="I120" s="633"/>
      <c r="J120" s="633"/>
      <c r="K120" s="633"/>
    </row>
    <row r="121" spans="1:11" s="156" customFormat="1" x14ac:dyDescent="0.25">
      <c r="A121" s="633">
        <v>115</v>
      </c>
      <c r="B121" s="165" t="s">
        <v>243</v>
      </c>
      <c r="C121" s="179" t="s">
        <v>385</v>
      </c>
      <c r="D121" s="162">
        <f t="shared" si="1"/>
        <v>5</v>
      </c>
      <c r="E121" s="167">
        <v>5</v>
      </c>
      <c r="F121" s="633"/>
      <c r="G121" s="633"/>
      <c r="H121" s="633"/>
      <c r="I121" s="633"/>
      <c r="J121" s="633"/>
      <c r="K121" s="633"/>
    </row>
    <row r="122" spans="1:11" s="156" customFormat="1" x14ac:dyDescent="0.25">
      <c r="A122" s="633">
        <v>116</v>
      </c>
      <c r="B122" s="165" t="s">
        <v>244</v>
      </c>
      <c r="C122" s="166" t="s">
        <v>654</v>
      </c>
      <c r="D122" s="162">
        <f t="shared" si="1"/>
        <v>5</v>
      </c>
      <c r="E122" s="167">
        <v>5</v>
      </c>
      <c r="F122" s="633"/>
      <c r="G122" s="633"/>
      <c r="H122" s="633"/>
      <c r="I122" s="633"/>
      <c r="J122" s="633"/>
      <c r="K122" s="633"/>
    </row>
    <row r="123" spans="1:11" s="156" customFormat="1" x14ac:dyDescent="0.25">
      <c r="A123" s="633">
        <v>117</v>
      </c>
      <c r="B123" s="165" t="s">
        <v>246</v>
      </c>
      <c r="C123" s="166" t="s">
        <v>247</v>
      </c>
      <c r="D123" s="162">
        <f t="shared" si="1"/>
        <v>0</v>
      </c>
      <c r="E123" s="633">
        <v>0</v>
      </c>
      <c r="F123" s="633"/>
      <c r="G123" s="633"/>
      <c r="H123" s="633"/>
      <c r="I123" s="633"/>
      <c r="J123" s="633"/>
      <c r="K123" s="633"/>
    </row>
    <row r="124" spans="1:11" s="156" customFormat="1" x14ac:dyDescent="0.25">
      <c r="A124" s="633">
        <v>118</v>
      </c>
      <c r="B124" s="165" t="s">
        <v>248</v>
      </c>
      <c r="C124" s="166" t="s">
        <v>249</v>
      </c>
      <c r="D124" s="162">
        <f t="shared" si="1"/>
        <v>0</v>
      </c>
      <c r="E124" s="633">
        <v>0</v>
      </c>
      <c r="F124" s="633"/>
      <c r="G124" s="633"/>
      <c r="H124" s="633"/>
      <c r="I124" s="633"/>
      <c r="J124" s="633"/>
      <c r="K124" s="633"/>
    </row>
    <row r="125" spans="1:11" s="156" customFormat="1" ht="12.75" customHeight="1" x14ac:dyDescent="0.25">
      <c r="A125" s="633">
        <v>119</v>
      </c>
      <c r="B125" s="165" t="s">
        <v>250</v>
      </c>
      <c r="C125" s="166" t="s">
        <v>251</v>
      </c>
      <c r="D125" s="162">
        <f t="shared" si="1"/>
        <v>0</v>
      </c>
      <c r="E125" s="633">
        <v>0</v>
      </c>
      <c r="F125" s="633"/>
      <c r="G125" s="633"/>
      <c r="H125" s="633"/>
      <c r="I125" s="633"/>
      <c r="J125" s="633"/>
      <c r="K125" s="633"/>
    </row>
    <row r="126" spans="1:11" s="156" customFormat="1" x14ac:dyDescent="0.25">
      <c r="A126" s="633">
        <v>120</v>
      </c>
      <c r="B126" s="180" t="s">
        <v>252</v>
      </c>
      <c r="C126" s="181" t="s">
        <v>253</v>
      </c>
      <c r="D126" s="162">
        <f t="shared" si="1"/>
        <v>332</v>
      </c>
      <c r="E126" s="182">
        <v>332</v>
      </c>
      <c r="F126" s="633"/>
      <c r="G126" s="633">
        <v>332</v>
      </c>
      <c r="H126" s="633"/>
      <c r="I126" s="633"/>
      <c r="J126" s="633"/>
      <c r="K126" s="633"/>
    </row>
    <row r="127" spans="1:11" s="156" customFormat="1" x14ac:dyDescent="0.25">
      <c r="A127" s="633">
        <v>121</v>
      </c>
      <c r="B127" s="160" t="s">
        <v>254</v>
      </c>
      <c r="C127" s="163" t="s">
        <v>255</v>
      </c>
      <c r="D127" s="162">
        <f t="shared" si="1"/>
        <v>0</v>
      </c>
      <c r="E127" s="633">
        <v>0</v>
      </c>
      <c r="F127" s="633"/>
      <c r="G127" s="633"/>
      <c r="H127" s="633"/>
      <c r="I127" s="633"/>
      <c r="J127" s="633"/>
      <c r="K127" s="633"/>
    </row>
    <row r="128" spans="1:11" s="156" customFormat="1" x14ac:dyDescent="0.25">
      <c r="A128" s="633">
        <v>122</v>
      </c>
      <c r="B128" s="165" t="s">
        <v>256</v>
      </c>
      <c r="C128" s="166" t="s">
        <v>257</v>
      </c>
      <c r="D128" s="162">
        <f t="shared" si="1"/>
        <v>4</v>
      </c>
      <c r="E128" s="167">
        <v>4</v>
      </c>
      <c r="F128" s="633"/>
      <c r="G128" s="633"/>
      <c r="H128" s="633"/>
      <c r="I128" s="633"/>
      <c r="J128" s="633"/>
      <c r="K128" s="633"/>
    </row>
    <row r="129" spans="1:11" s="156" customFormat="1" ht="14.25" customHeight="1" x14ac:dyDescent="0.25">
      <c r="A129" s="633">
        <v>123</v>
      </c>
      <c r="B129" s="160" t="s">
        <v>258</v>
      </c>
      <c r="C129" s="166" t="s">
        <v>259</v>
      </c>
      <c r="D129" s="162">
        <f t="shared" si="1"/>
        <v>1298</v>
      </c>
      <c r="E129" s="167">
        <v>1298</v>
      </c>
      <c r="F129" s="633"/>
      <c r="G129" s="633"/>
      <c r="H129" s="633"/>
      <c r="I129" s="633">
        <v>150</v>
      </c>
      <c r="J129" s="633"/>
      <c r="K129" s="633"/>
    </row>
    <row r="130" spans="1:11" s="156" customFormat="1" x14ac:dyDescent="0.25">
      <c r="A130" s="633">
        <v>124</v>
      </c>
      <c r="B130" s="165" t="s">
        <v>260</v>
      </c>
      <c r="C130" s="166" t="s">
        <v>261</v>
      </c>
      <c r="D130" s="162">
        <f t="shared" si="1"/>
        <v>34211</v>
      </c>
      <c r="E130" s="167">
        <v>34121</v>
      </c>
      <c r="F130" s="633">
        <v>34121</v>
      </c>
      <c r="G130" s="633"/>
      <c r="H130" s="633"/>
      <c r="I130" s="633"/>
      <c r="J130" s="633">
        <v>90</v>
      </c>
      <c r="K130" s="633"/>
    </row>
    <row r="131" spans="1:11" s="156" customFormat="1" ht="13.5" customHeight="1" x14ac:dyDescent="0.25">
      <c r="A131" s="633">
        <v>125</v>
      </c>
      <c r="B131" s="165" t="s">
        <v>262</v>
      </c>
      <c r="C131" s="166" t="s">
        <v>263</v>
      </c>
      <c r="D131" s="162">
        <f t="shared" si="1"/>
        <v>350</v>
      </c>
      <c r="E131" s="167">
        <v>350</v>
      </c>
      <c r="F131" s="633"/>
      <c r="G131" s="633"/>
      <c r="H131" s="633"/>
      <c r="I131" s="633"/>
      <c r="J131" s="633"/>
      <c r="K131" s="633"/>
    </row>
    <row r="132" spans="1:11" s="156" customFormat="1" x14ac:dyDescent="0.25">
      <c r="A132" s="633">
        <v>126</v>
      </c>
      <c r="B132" s="160" t="s">
        <v>264</v>
      </c>
      <c r="C132" s="166" t="s">
        <v>265</v>
      </c>
      <c r="D132" s="162">
        <f t="shared" si="1"/>
        <v>2796</v>
      </c>
      <c r="E132" s="167">
        <v>2796</v>
      </c>
      <c r="F132" s="633">
        <v>140</v>
      </c>
      <c r="G132" s="633"/>
      <c r="H132" s="633"/>
      <c r="I132" s="633"/>
      <c r="J132" s="633"/>
      <c r="K132" s="633">
        <v>400</v>
      </c>
    </row>
    <row r="133" spans="1:11" s="156" customFormat="1" x14ac:dyDescent="0.25">
      <c r="A133" s="633">
        <v>127</v>
      </c>
      <c r="B133" s="165" t="s">
        <v>266</v>
      </c>
      <c r="C133" s="166" t="s">
        <v>267</v>
      </c>
      <c r="D133" s="162">
        <f t="shared" si="1"/>
        <v>2160</v>
      </c>
      <c r="E133" s="167">
        <v>2160</v>
      </c>
      <c r="F133" s="633"/>
      <c r="G133" s="633"/>
      <c r="H133" s="633"/>
      <c r="I133" s="633"/>
      <c r="J133" s="633"/>
      <c r="K133" s="633"/>
    </row>
    <row r="134" spans="1:11" s="156" customFormat="1" ht="12.75" customHeight="1" x14ac:dyDescent="0.25">
      <c r="A134" s="633">
        <v>128</v>
      </c>
      <c r="B134" s="160" t="s">
        <v>268</v>
      </c>
      <c r="C134" s="163" t="s">
        <v>269</v>
      </c>
      <c r="D134" s="162">
        <f t="shared" si="1"/>
        <v>2829</v>
      </c>
      <c r="E134" s="164">
        <v>2829</v>
      </c>
      <c r="F134" s="633"/>
      <c r="G134" s="633"/>
      <c r="H134" s="633"/>
      <c r="I134" s="633"/>
      <c r="J134" s="633"/>
      <c r="K134" s="633"/>
    </row>
    <row r="135" spans="1:11" s="156" customFormat="1" x14ac:dyDescent="0.25">
      <c r="A135" s="633">
        <v>129</v>
      </c>
      <c r="B135" s="160" t="s">
        <v>270</v>
      </c>
      <c r="C135" s="163" t="s">
        <v>271</v>
      </c>
      <c r="D135" s="162">
        <f t="shared" ref="D135:D142" si="2">E135+J135</f>
        <v>666</v>
      </c>
      <c r="E135" s="164">
        <v>666</v>
      </c>
      <c r="F135" s="633"/>
      <c r="G135" s="633">
        <v>666</v>
      </c>
      <c r="H135" s="633"/>
      <c r="I135" s="633"/>
      <c r="J135" s="633"/>
      <c r="K135" s="633"/>
    </row>
    <row r="136" spans="1:11" s="156" customFormat="1" x14ac:dyDescent="0.25">
      <c r="A136" s="633">
        <v>130</v>
      </c>
      <c r="B136" s="165" t="s">
        <v>272</v>
      </c>
      <c r="C136" s="166" t="s">
        <v>273</v>
      </c>
      <c r="D136" s="162">
        <f t="shared" si="2"/>
        <v>0</v>
      </c>
      <c r="E136" s="167">
        <v>0</v>
      </c>
      <c r="F136" s="633"/>
      <c r="G136" s="633"/>
      <c r="H136" s="633"/>
      <c r="I136" s="633"/>
      <c r="J136" s="633"/>
      <c r="K136" s="633">
        <v>2500</v>
      </c>
    </row>
    <row r="137" spans="1:11" s="156" customFormat="1" x14ac:dyDescent="0.25">
      <c r="A137" s="633">
        <v>131</v>
      </c>
      <c r="B137" s="165" t="s">
        <v>274</v>
      </c>
      <c r="C137" s="166" t="s">
        <v>275</v>
      </c>
      <c r="D137" s="162">
        <f t="shared" si="2"/>
        <v>713</v>
      </c>
      <c r="E137" s="167">
        <v>713</v>
      </c>
      <c r="F137" s="633"/>
      <c r="G137" s="633"/>
      <c r="H137" s="633"/>
      <c r="I137" s="633"/>
      <c r="J137" s="633"/>
      <c r="K137" s="633">
        <v>2000</v>
      </c>
    </row>
    <row r="138" spans="1:11" s="156" customFormat="1" ht="13.5" customHeight="1" x14ac:dyDescent="0.25">
      <c r="A138" s="633">
        <v>132</v>
      </c>
      <c r="B138" s="165" t="s">
        <v>276</v>
      </c>
      <c r="C138" s="166" t="s">
        <v>277</v>
      </c>
      <c r="D138" s="162">
        <f t="shared" si="2"/>
        <v>2960</v>
      </c>
      <c r="E138" s="167">
        <v>2960</v>
      </c>
      <c r="F138" s="633"/>
      <c r="G138" s="640"/>
      <c r="H138" s="633"/>
      <c r="I138" s="633"/>
      <c r="J138" s="633"/>
      <c r="K138" s="633"/>
    </row>
    <row r="139" spans="1:11" s="156" customFormat="1" x14ac:dyDescent="0.25">
      <c r="A139" s="633">
        <v>133</v>
      </c>
      <c r="B139" s="165" t="s">
        <v>278</v>
      </c>
      <c r="C139" s="166" t="s">
        <v>279</v>
      </c>
      <c r="D139" s="162">
        <f t="shared" si="2"/>
        <v>5899</v>
      </c>
      <c r="E139" s="167">
        <v>5899</v>
      </c>
      <c r="F139" s="633"/>
      <c r="G139" s="633"/>
      <c r="H139" s="633"/>
      <c r="I139" s="633"/>
      <c r="J139" s="633"/>
      <c r="K139" s="633">
        <v>364</v>
      </c>
    </row>
    <row r="140" spans="1:11" s="156" customFormat="1" x14ac:dyDescent="0.25">
      <c r="A140" s="633">
        <v>134</v>
      </c>
      <c r="B140" s="165" t="s">
        <v>280</v>
      </c>
      <c r="C140" s="166" t="s">
        <v>281</v>
      </c>
      <c r="D140" s="162">
        <f t="shared" si="2"/>
        <v>156</v>
      </c>
      <c r="E140" s="167">
        <v>156</v>
      </c>
      <c r="F140" s="633"/>
      <c r="G140" s="633"/>
      <c r="H140" s="633"/>
      <c r="I140" s="633"/>
      <c r="J140" s="633"/>
      <c r="K140" s="633"/>
    </row>
    <row r="141" spans="1:11" s="156" customFormat="1" x14ac:dyDescent="0.25">
      <c r="A141" s="633">
        <v>135</v>
      </c>
      <c r="B141" s="160" t="s">
        <v>282</v>
      </c>
      <c r="C141" s="163" t="s">
        <v>283</v>
      </c>
      <c r="D141" s="162">
        <f t="shared" si="2"/>
        <v>0</v>
      </c>
      <c r="E141" s="633">
        <v>0</v>
      </c>
      <c r="F141" s="633"/>
      <c r="G141" s="633"/>
      <c r="H141" s="633"/>
      <c r="I141" s="633"/>
      <c r="J141" s="633"/>
      <c r="K141" s="633"/>
    </row>
    <row r="142" spans="1:11" s="156" customFormat="1" ht="13.5" customHeight="1" x14ac:dyDescent="0.25">
      <c r="A142" s="633">
        <v>136</v>
      </c>
      <c r="B142" s="165" t="s">
        <v>284</v>
      </c>
      <c r="C142" s="166" t="s">
        <v>285</v>
      </c>
      <c r="D142" s="162">
        <f t="shared" si="2"/>
        <v>1090</v>
      </c>
      <c r="E142" s="167">
        <v>1000</v>
      </c>
      <c r="F142" s="633">
        <v>1000</v>
      </c>
      <c r="G142" s="633"/>
      <c r="H142" s="633"/>
      <c r="I142" s="633"/>
      <c r="J142" s="633">
        <v>90</v>
      </c>
      <c r="K142" s="633"/>
    </row>
    <row r="143" spans="1:11" s="184" customFormat="1" ht="12.75" x14ac:dyDescent="0.25">
      <c r="A143" s="641"/>
      <c r="B143" s="642"/>
      <c r="C143" s="643" t="s">
        <v>15</v>
      </c>
      <c r="D143" s="183">
        <f t="shared" ref="D143:K143" si="3">SUM(D7:D142)</f>
        <v>260093</v>
      </c>
      <c r="E143" s="183">
        <f t="shared" si="3"/>
        <v>259913</v>
      </c>
      <c r="F143" s="183">
        <f t="shared" si="3"/>
        <v>35826</v>
      </c>
      <c r="G143" s="183">
        <f t="shared" si="3"/>
        <v>2173</v>
      </c>
      <c r="H143" s="183">
        <f t="shared" si="3"/>
        <v>148</v>
      </c>
      <c r="I143" s="183">
        <f t="shared" si="3"/>
        <v>677</v>
      </c>
      <c r="J143" s="183">
        <f t="shared" si="3"/>
        <v>180</v>
      </c>
      <c r="K143" s="183">
        <f t="shared" si="3"/>
        <v>10186</v>
      </c>
    </row>
    <row r="144" spans="1:11" s="184" customFormat="1" ht="21.75" customHeight="1" x14ac:dyDescent="0.25">
      <c r="A144" s="641"/>
      <c r="B144" s="641"/>
      <c r="C144" s="644" t="s">
        <v>14</v>
      </c>
      <c r="D144" s="185">
        <v>5670</v>
      </c>
      <c r="E144" s="185"/>
      <c r="F144" s="183">
        <v>5141</v>
      </c>
      <c r="G144" s="183">
        <v>20</v>
      </c>
      <c r="H144" s="183"/>
      <c r="I144" s="183"/>
      <c r="J144" s="183"/>
      <c r="K144" s="183"/>
    </row>
    <row r="145" spans="1:11" s="184" customFormat="1" x14ac:dyDescent="0.25">
      <c r="A145" s="959" t="s">
        <v>6</v>
      </c>
      <c r="B145" s="959"/>
      <c r="C145" s="959"/>
      <c r="D145" s="183">
        <f>D143+D144</f>
        <v>265763</v>
      </c>
      <c r="E145" s="183">
        <f t="shared" ref="E145:K145" si="4">E143+E144</f>
        <v>259913</v>
      </c>
      <c r="F145" s="183">
        <f t="shared" si="4"/>
        <v>40967</v>
      </c>
      <c r="G145" s="183">
        <f t="shared" si="4"/>
        <v>2193</v>
      </c>
      <c r="H145" s="183">
        <f t="shared" si="4"/>
        <v>148</v>
      </c>
      <c r="I145" s="183">
        <f t="shared" si="4"/>
        <v>677</v>
      </c>
      <c r="J145" s="183">
        <f t="shared" si="4"/>
        <v>180</v>
      </c>
      <c r="K145" s="183">
        <f t="shared" si="4"/>
        <v>10186</v>
      </c>
    </row>
  </sheetData>
  <mergeCells count="10"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T26"/>
  <sheetViews>
    <sheetView zoomScale="110" zoomScaleNormal="110" workbookViewId="0">
      <pane xSplit="4" ySplit="7" topLeftCell="N8" activePane="bottomRight" state="frozen"/>
      <selection pane="topRight" activeCell="E1" sqref="E1"/>
      <selection pane="bottomLeft" activeCell="A8" sqref="A8"/>
      <selection pane="bottomRight" activeCell="Q33" sqref="Q33"/>
    </sheetView>
  </sheetViews>
  <sheetFormatPr defaultRowHeight="11.25" x14ac:dyDescent="0.2"/>
  <cols>
    <col min="1" max="1" width="3.7109375" style="570" customWidth="1"/>
    <col min="2" max="2" width="9.140625" style="570"/>
    <col min="3" max="3" width="27.7109375" style="570" customWidth="1"/>
    <col min="4" max="4" width="9.140625" style="570"/>
    <col min="5" max="6" width="12" style="570" customWidth="1"/>
    <col min="7" max="7" width="11.140625" style="570" customWidth="1"/>
    <col min="8" max="8" width="12" style="570" customWidth="1"/>
    <col min="9" max="9" width="11" style="570" customWidth="1"/>
    <col min="10" max="10" width="11.7109375" style="570" customWidth="1"/>
    <col min="11" max="11" width="8" style="582" customWidth="1"/>
    <col min="12" max="12" width="11.42578125" style="570" customWidth="1"/>
    <col min="13" max="14" width="12.7109375" style="570" customWidth="1"/>
    <col min="15" max="15" width="7.7109375" style="582" customWidth="1"/>
    <col min="16" max="16" width="12.28515625" style="570" customWidth="1"/>
    <col min="17" max="17" width="11.28515625" style="570" customWidth="1"/>
    <col min="18" max="18" width="8.28515625" style="570" customWidth="1"/>
    <col min="19" max="19" width="13.28515625" style="570" customWidth="1"/>
    <col min="20" max="20" width="11" style="570" customWidth="1"/>
    <col min="21" max="252" width="9.140625" style="570"/>
    <col min="253" max="253" width="3.7109375" style="570" customWidth="1"/>
    <col min="254" max="254" width="9.140625" style="570"/>
    <col min="255" max="255" width="27.7109375" style="570" customWidth="1"/>
    <col min="256" max="256" width="9.140625" style="570"/>
    <col min="257" max="258" width="12" style="570" customWidth="1"/>
    <col min="259" max="259" width="11.140625" style="570" customWidth="1"/>
    <col min="260" max="260" width="12" style="570" customWidth="1"/>
    <col min="261" max="261" width="11" style="570" customWidth="1"/>
    <col min="262" max="262" width="11.7109375" style="570" customWidth="1"/>
    <col min="263" max="263" width="8" style="570" customWidth="1"/>
    <col min="264" max="264" width="11.42578125" style="570" customWidth="1"/>
    <col min="265" max="266" width="12.7109375" style="570" customWidth="1"/>
    <col min="267" max="267" width="7.7109375" style="570" customWidth="1"/>
    <col min="268" max="268" width="12.28515625" style="570" customWidth="1"/>
    <col min="269" max="269" width="11.28515625" style="570" customWidth="1"/>
    <col min="270" max="270" width="8.28515625" style="570" customWidth="1"/>
    <col min="271" max="271" width="13.28515625" style="570" customWidth="1"/>
    <col min="272" max="272" width="11" style="570" customWidth="1"/>
    <col min="273" max="508" width="9.140625" style="570"/>
    <col min="509" max="509" width="3.7109375" style="570" customWidth="1"/>
    <col min="510" max="510" width="9.140625" style="570"/>
    <col min="511" max="511" width="27.7109375" style="570" customWidth="1"/>
    <col min="512" max="512" width="9.140625" style="570"/>
    <col min="513" max="514" width="12" style="570" customWidth="1"/>
    <col min="515" max="515" width="11.140625" style="570" customWidth="1"/>
    <col min="516" max="516" width="12" style="570" customWidth="1"/>
    <col min="517" max="517" width="11" style="570" customWidth="1"/>
    <col min="518" max="518" width="11.7109375" style="570" customWidth="1"/>
    <col min="519" max="519" width="8" style="570" customWidth="1"/>
    <col min="520" max="520" width="11.42578125" style="570" customWidth="1"/>
    <col min="521" max="522" width="12.7109375" style="570" customWidth="1"/>
    <col min="523" max="523" width="7.7109375" style="570" customWidth="1"/>
    <col min="524" max="524" width="12.28515625" style="570" customWidth="1"/>
    <col min="525" max="525" width="11.28515625" style="570" customWidth="1"/>
    <col min="526" max="526" width="8.28515625" style="570" customWidth="1"/>
    <col min="527" max="527" width="13.28515625" style="570" customWidth="1"/>
    <col min="528" max="528" width="11" style="570" customWidth="1"/>
    <col min="529" max="764" width="9.140625" style="570"/>
    <col min="765" max="765" width="3.7109375" style="570" customWidth="1"/>
    <col min="766" max="766" width="9.140625" style="570"/>
    <col min="767" max="767" width="27.7109375" style="570" customWidth="1"/>
    <col min="768" max="768" width="9.140625" style="570"/>
    <col min="769" max="770" width="12" style="570" customWidth="1"/>
    <col min="771" max="771" width="11.140625" style="570" customWidth="1"/>
    <col min="772" max="772" width="12" style="570" customWidth="1"/>
    <col min="773" max="773" width="11" style="570" customWidth="1"/>
    <col min="774" max="774" width="11.7109375" style="570" customWidth="1"/>
    <col min="775" max="775" width="8" style="570" customWidth="1"/>
    <col min="776" max="776" width="11.42578125" style="570" customWidth="1"/>
    <col min="777" max="778" width="12.7109375" style="570" customWidth="1"/>
    <col min="779" max="779" width="7.7109375" style="570" customWidth="1"/>
    <col min="780" max="780" width="12.28515625" style="570" customWidth="1"/>
    <col min="781" max="781" width="11.28515625" style="570" customWidth="1"/>
    <col min="782" max="782" width="8.28515625" style="570" customWidth="1"/>
    <col min="783" max="783" width="13.28515625" style="570" customWidth="1"/>
    <col min="784" max="784" width="11" style="570" customWidth="1"/>
    <col min="785" max="1020" width="9.140625" style="570"/>
    <col min="1021" max="1021" width="3.7109375" style="570" customWidth="1"/>
    <col min="1022" max="1022" width="9.140625" style="570"/>
    <col min="1023" max="1023" width="27.7109375" style="570" customWidth="1"/>
    <col min="1024" max="1024" width="9.140625" style="570"/>
    <col min="1025" max="1026" width="12" style="570" customWidth="1"/>
    <col min="1027" max="1027" width="11.140625" style="570" customWidth="1"/>
    <col min="1028" max="1028" width="12" style="570" customWidth="1"/>
    <col min="1029" max="1029" width="11" style="570" customWidth="1"/>
    <col min="1030" max="1030" width="11.7109375" style="570" customWidth="1"/>
    <col min="1031" max="1031" width="8" style="570" customWidth="1"/>
    <col min="1032" max="1032" width="11.42578125" style="570" customWidth="1"/>
    <col min="1033" max="1034" width="12.7109375" style="570" customWidth="1"/>
    <col min="1035" max="1035" width="7.7109375" style="570" customWidth="1"/>
    <col min="1036" max="1036" width="12.28515625" style="570" customWidth="1"/>
    <col min="1037" max="1037" width="11.28515625" style="570" customWidth="1"/>
    <col min="1038" max="1038" width="8.28515625" style="570" customWidth="1"/>
    <col min="1039" max="1039" width="13.28515625" style="570" customWidth="1"/>
    <col min="1040" max="1040" width="11" style="570" customWidth="1"/>
    <col min="1041" max="1276" width="9.140625" style="570"/>
    <col min="1277" max="1277" width="3.7109375" style="570" customWidth="1"/>
    <col min="1278" max="1278" width="9.140625" style="570"/>
    <col min="1279" max="1279" width="27.7109375" style="570" customWidth="1"/>
    <col min="1280" max="1280" width="9.140625" style="570"/>
    <col min="1281" max="1282" width="12" style="570" customWidth="1"/>
    <col min="1283" max="1283" width="11.140625" style="570" customWidth="1"/>
    <col min="1284" max="1284" width="12" style="570" customWidth="1"/>
    <col min="1285" max="1285" width="11" style="570" customWidth="1"/>
    <col min="1286" max="1286" width="11.7109375" style="570" customWidth="1"/>
    <col min="1287" max="1287" width="8" style="570" customWidth="1"/>
    <col min="1288" max="1288" width="11.42578125" style="570" customWidth="1"/>
    <col min="1289" max="1290" width="12.7109375" style="570" customWidth="1"/>
    <col min="1291" max="1291" width="7.7109375" style="570" customWidth="1"/>
    <col min="1292" max="1292" width="12.28515625" style="570" customWidth="1"/>
    <col min="1293" max="1293" width="11.28515625" style="570" customWidth="1"/>
    <col min="1294" max="1294" width="8.28515625" style="570" customWidth="1"/>
    <col min="1295" max="1295" width="13.28515625" style="570" customWidth="1"/>
    <col min="1296" max="1296" width="11" style="570" customWidth="1"/>
    <col min="1297" max="1532" width="9.140625" style="570"/>
    <col min="1533" max="1533" width="3.7109375" style="570" customWidth="1"/>
    <col min="1534" max="1534" width="9.140625" style="570"/>
    <col min="1535" max="1535" width="27.7109375" style="570" customWidth="1"/>
    <col min="1536" max="1536" width="9.140625" style="570"/>
    <col min="1537" max="1538" width="12" style="570" customWidth="1"/>
    <col min="1539" max="1539" width="11.140625" style="570" customWidth="1"/>
    <col min="1540" max="1540" width="12" style="570" customWidth="1"/>
    <col min="1541" max="1541" width="11" style="570" customWidth="1"/>
    <col min="1542" max="1542" width="11.7109375" style="570" customWidth="1"/>
    <col min="1543" max="1543" width="8" style="570" customWidth="1"/>
    <col min="1544" max="1544" width="11.42578125" style="570" customWidth="1"/>
    <col min="1545" max="1546" width="12.7109375" style="570" customWidth="1"/>
    <col min="1547" max="1547" width="7.7109375" style="570" customWidth="1"/>
    <col min="1548" max="1548" width="12.28515625" style="570" customWidth="1"/>
    <col min="1549" max="1549" width="11.28515625" style="570" customWidth="1"/>
    <col min="1550" max="1550" width="8.28515625" style="570" customWidth="1"/>
    <col min="1551" max="1551" width="13.28515625" style="570" customWidth="1"/>
    <col min="1552" max="1552" width="11" style="570" customWidth="1"/>
    <col min="1553" max="1788" width="9.140625" style="570"/>
    <col min="1789" max="1789" width="3.7109375" style="570" customWidth="1"/>
    <col min="1790" max="1790" width="9.140625" style="570"/>
    <col min="1791" max="1791" width="27.7109375" style="570" customWidth="1"/>
    <col min="1792" max="1792" width="9.140625" style="570"/>
    <col min="1793" max="1794" width="12" style="570" customWidth="1"/>
    <col min="1795" max="1795" width="11.140625" style="570" customWidth="1"/>
    <col min="1796" max="1796" width="12" style="570" customWidth="1"/>
    <col min="1797" max="1797" width="11" style="570" customWidth="1"/>
    <col min="1798" max="1798" width="11.7109375" style="570" customWidth="1"/>
    <col min="1799" max="1799" width="8" style="570" customWidth="1"/>
    <col min="1800" max="1800" width="11.42578125" style="570" customWidth="1"/>
    <col min="1801" max="1802" width="12.7109375" style="570" customWidth="1"/>
    <col min="1803" max="1803" width="7.7109375" style="570" customWidth="1"/>
    <col min="1804" max="1804" width="12.28515625" style="570" customWidth="1"/>
    <col min="1805" max="1805" width="11.28515625" style="570" customWidth="1"/>
    <col min="1806" max="1806" width="8.28515625" style="570" customWidth="1"/>
    <col min="1807" max="1807" width="13.28515625" style="570" customWidth="1"/>
    <col min="1808" max="1808" width="11" style="570" customWidth="1"/>
    <col min="1809" max="2044" width="9.140625" style="570"/>
    <col min="2045" max="2045" width="3.7109375" style="570" customWidth="1"/>
    <col min="2046" max="2046" width="9.140625" style="570"/>
    <col min="2047" max="2047" width="27.7109375" style="570" customWidth="1"/>
    <col min="2048" max="2048" width="9.140625" style="570"/>
    <col min="2049" max="2050" width="12" style="570" customWidth="1"/>
    <col min="2051" max="2051" width="11.140625" style="570" customWidth="1"/>
    <col min="2052" max="2052" width="12" style="570" customWidth="1"/>
    <col min="2053" max="2053" width="11" style="570" customWidth="1"/>
    <col min="2054" max="2054" width="11.7109375" style="570" customWidth="1"/>
    <col min="2055" max="2055" width="8" style="570" customWidth="1"/>
    <col min="2056" max="2056" width="11.42578125" style="570" customWidth="1"/>
    <col min="2057" max="2058" width="12.7109375" style="570" customWidth="1"/>
    <col min="2059" max="2059" width="7.7109375" style="570" customWidth="1"/>
    <col min="2060" max="2060" width="12.28515625" style="570" customWidth="1"/>
    <col min="2061" max="2061" width="11.28515625" style="570" customWidth="1"/>
    <col min="2062" max="2062" width="8.28515625" style="570" customWidth="1"/>
    <col min="2063" max="2063" width="13.28515625" style="570" customWidth="1"/>
    <col min="2064" max="2064" width="11" style="570" customWidth="1"/>
    <col min="2065" max="2300" width="9.140625" style="570"/>
    <col min="2301" max="2301" width="3.7109375" style="570" customWidth="1"/>
    <col min="2302" max="2302" width="9.140625" style="570"/>
    <col min="2303" max="2303" width="27.7109375" style="570" customWidth="1"/>
    <col min="2304" max="2304" width="9.140625" style="570"/>
    <col min="2305" max="2306" width="12" style="570" customWidth="1"/>
    <col min="2307" max="2307" width="11.140625" style="570" customWidth="1"/>
    <col min="2308" max="2308" width="12" style="570" customWidth="1"/>
    <col min="2309" max="2309" width="11" style="570" customWidth="1"/>
    <col min="2310" max="2310" width="11.7109375" style="570" customWidth="1"/>
    <col min="2311" max="2311" width="8" style="570" customWidth="1"/>
    <col min="2312" max="2312" width="11.42578125" style="570" customWidth="1"/>
    <col min="2313" max="2314" width="12.7109375" style="570" customWidth="1"/>
    <col min="2315" max="2315" width="7.7109375" style="570" customWidth="1"/>
    <col min="2316" max="2316" width="12.28515625" style="570" customWidth="1"/>
    <col min="2317" max="2317" width="11.28515625" style="570" customWidth="1"/>
    <col min="2318" max="2318" width="8.28515625" style="570" customWidth="1"/>
    <col min="2319" max="2319" width="13.28515625" style="570" customWidth="1"/>
    <col min="2320" max="2320" width="11" style="570" customWidth="1"/>
    <col min="2321" max="2556" width="9.140625" style="570"/>
    <col min="2557" max="2557" width="3.7109375" style="570" customWidth="1"/>
    <col min="2558" max="2558" width="9.140625" style="570"/>
    <col min="2559" max="2559" width="27.7109375" style="570" customWidth="1"/>
    <col min="2560" max="2560" width="9.140625" style="570"/>
    <col min="2561" max="2562" width="12" style="570" customWidth="1"/>
    <col min="2563" max="2563" width="11.140625" style="570" customWidth="1"/>
    <col min="2564" max="2564" width="12" style="570" customWidth="1"/>
    <col min="2565" max="2565" width="11" style="570" customWidth="1"/>
    <col min="2566" max="2566" width="11.7109375" style="570" customWidth="1"/>
    <col min="2567" max="2567" width="8" style="570" customWidth="1"/>
    <col min="2568" max="2568" width="11.42578125" style="570" customWidth="1"/>
    <col min="2569" max="2570" width="12.7109375" style="570" customWidth="1"/>
    <col min="2571" max="2571" width="7.7109375" style="570" customWidth="1"/>
    <col min="2572" max="2572" width="12.28515625" style="570" customWidth="1"/>
    <col min="2573" max="2573" width="11.28515625" style="570" customWidth="1"/>
    <col min="2574" max="2574" width="8.28515625" style="570" customWidth="1"/>
    <col min="2575" max="2575" width="13.28515625" style="570" customWidth="1"/>
    <col min="2576" max="2576" width="11" style="570" customWidth="1"/>
    <col min="2577" max="2812" width="9.140625" style="570"/>
    <col min="2813" max="2813" width="3.7109375" style="570" customWidth="1"/>
    <col min="2814" max="2814" width="9.140625" style="570"/>
    <col min="2815" max="2815" width="27.7109375" style="570" customWidth="1"/>
    <col min="2816" max="2816" width="9.140625" style="570"/>
    <col min="2817" max="2818" width="12" style="570" customWidth="1"/>
    <col min="2819" max="2819" width="11.140625" style="570" customWidth="1"/>
    <col min="2820" max="2820" width="12" style="570" customWidth="1"/>
    <col min="2821" max="2821" width="11" style="570" customWidth="1"/>
    <col min="2822" max="2822" width="11.7109375" style="570" customWidth="1"/>
    <col min="2823" max="2823" width="8" style="570" customWidth="1"/>
    <col min="2824" max="2824" width="11.42578125" style="570" customWidth="1"/>
    <col min="2825" max="2826" width="12.7109375" style="570" customWidth="1"/>
    <col min="2827" max="2827" width="7.7109375" style="570" customWidth="1"/>
    <col min="2828" max="2828" width="12.28515625" style="570" customWidth="1"/>
    <col min="2829" max="2829" width="11.28515625" style="570" customWidth="1"/>
    <col min="2830" max="2830" width="8.28515625" style="570" customWidth="1"/>
    <col min="2831" max="2831" width="13.28515625" style="570" customWidth="1"/>
    <col min="2832" max="2832" width="11" style="570" customWidth="1"/>
    <col min="2833" max="3068" width="9.140625" style="570"/>
    <col min="3069" max="3069" width="3.7109375" style="570" customWidth="1"/>
    <col min="3070" max="3070" width="9.140625" style="570"/>
    <col min="3071" max="3071" width="27.7109375" style="570" customWidth="1"/>
    <col min="3072" max="3072" width="9.140625" style="570"/>
    <col min="3073" max="3074" width="12" style="570" customWidth="1"/>
    <col min="3075" max="3075" width="11.140625" style="570" customWidth="1"/>
    <col min="3076" max="3076" width="12" style="570" customWidth="1"/>
    <col min="3077" max="3077" width="11" style="570" customWidth="1"/>
    <col min="3078" max="3078" width="11.7109375" style="570" customWidth="1"/>
    <col min="3079" max="3079" width="8" style="570" customWidth="1"/>
    <col min="3080" max="3080" width="11.42578125" style="570" customWidth="1"/>
    <col min="3081" max="3082" width="12.7109375" style="570" customWidth="1"/>
    <col min="3083" max="3083" width="7.7109375" style="570" customWidth="1"/>
    <col min="3084" max="3084" width="12.28515625" style="570" customWidth="1"/>
    <col min="3085" max="3085" width="11.28515625" style="570" customWidth="1"/>
    <col min="3086" max="3086" width="8.28515625" style="570" customWidth="1"/>
    <col min="3087" max="3087" width="13.28515625" style="570" customWidth="1"/>
    <col min="3088" max="3088" width="11" style="570" customWidth="1"/>
    <col min="3089" max="3324" width="9.140625" style="570"/>
    <col min="3325" max="3325" width="3.7109375" style="570" customWidth="1"/>
    <col min="3326" max="3326" width="9.140625" style="570"/>
    <col min="3327" max="3327" width="27.7109375" style="570" customWidth="1"/>
    <col min="3328" max="3328" width="9.140625" style="570"/>
    <col min="3329" max="3330" width="12" style="570" customWidth="1"/>
    <col min="3331" max="3331" width="11.140625" style="570" customWidth="1"/>
    <col min="3332" max="3332" width="12" style="570" customWidth="1"/>
    <col min="3333" max="3333" width="11" style="570" customWidth="1"/>
    <col min="3334" max="3334" width="11.7109375" style="570" customWidth="1"/>
    <col min="3335" max="3335" width="8" style="570" customWidth="1"/>
    <col min="3336" max="3336" width="11.42578125" style="570" customWidth="1"/>
    <col min="3337" max="3338" width="12.7109375" style="570" customWidth="1"/>
    <col min="3339" max="3339" width="7.7109375" style="570" customWidth="1"/>
    <col min="3340" max="3340" width="12.28515625" style="570" customWidth="1"/>
    <col min="3341" max="3341" width="11.28515625" style="570" customWidth="1"/>
    <col min="3342" max="3342" width="8.28515625" style="570" customWidth="1"/>
    <col min="3343" max="3343" width="13.28515625" style="570" customWidth="1"/>
    <col min="3344" max="3344" width="11" style="570" customWidth="1"/>
    <col min="3345" max="3580" width="9.140625" style="570"/>
    <col min="3581" max="3581" width="3.7109375" style="570" customWidth="1"/>
    <col min="3582" max="3582" width="9.140625" style="570"/>
    <col min="3583" max="3583" width="27.7109375" style="570" customWidth="1"/>
    <col min="3584" max="3584" width="9.140625" style="570"/>
    <col min="3585" max="3586" width="12" style="570" customWidth="1"/>
    <col min="3587" max="3587" width="11.140625" style="570" customWidth="1"/>
    <col min="3588" max="3588" width="12" style="570" customWidth="1"/>
    <col min="3589" max="3589" width="11" style="570" customWidth="1"/>
    <col min="3590" max="3590" width="11.7109375" style="570" customWidth="1"/>
    <col min="3591" max="3591" width="8" style="570" customWidth="1"/>
    <col min="3592" max="3592" width="11.42578125" style="570" customWidth="1"/>
    <col min="3593" max="3594" width="12.7109375" style="570" customWidth="1"/>
    <col min="3595" max="3595" width="7.7109375" style="570" customWidth="1"/>
    <col min="3596" max="3596" width="12.28515625" style="570" customWidth="1"/>
    <col min="3597" max="3597" width="11.28515625" style="570" customWidth="1"/>
    <col min="3598" max="3598" width="8.28515625" style="570" customWidth="1"/>
    <col min="3599" max="3599" width="13.28515625" style="570" customWidth="1"/>
    <col min="3600" max="3600" width="11" style="570" customWidth="1"/>
    <col min="3601" max="3836" width="9.140625" style="570"/>
    <col min="3837" max="3837" width="3.7109375" style="570" customWidth="1"/>
    <col min="3838" max="3838" width="9.140625" style="570"/>
    <col min="3839" max="3839" width="27.7109375" style="570" customWidth="1"/>
    <col min="3840" max="3840" width="9.140625" style="570"/>
    <col min="3841" max="3842" width="12" style="570" customWidth="1"/>
    <col min="3843" max="3843" width="11.140625" style="570" customWidth="1"/>
    <col min="3844" max="3844" width="12" style="570" customWidth="1"/>
    <col min="3845" max="3845" width="11" style="570" customWidth="1"/>
    <col min="3846" max="3846" width="11.7109375" style="570" customWidth="1"/>
    <col min="3847" max="3847" width="8" style="570" customWidth="1"/>
    <col min="3848" max="3848" width="11.42578125" style="570" customWidth="1"/>
    <col min="3849" max="3850" width="12.7109375" style="570" customWidth="1"/>
    <col min="3851" max="3851" width="7.7109375" style="570" customWidth="1"/>
    <col min="3852" max="3852" width="12.28515625" style="570" customWidth="1"/>
    <col min="3853" max="3853" width="11.28515625" style="570" customWidth="1"/>
    <col min="3854" max="3854" width="8.28515625" style="570" customWidth="1"/>
    <col min="3855" max="3855" width="13.28515625" style="570" customWidth="1"/>
    <col min="3856" max="3856" width="11" style="570" customWidth="1"/>
    <col min="3857" max="4092" width="9.140625" style="570"/>
    <col min="4093" max="4093" width="3.7109375" style="570" customWidth="1"/>
    <col min="4094" max="4094" width="9.140625" style="570"/>
    <col min="4095" max="4095" width="27.7109375" style="570" customWidth="1"/>
    <col min="4096" max="4096" width="9.140625" style="570"/>
    <col min="4097" max="4098" width="12" style="570" customWidth="1"/>
    <col min="4099" max="4099" width="11.140625" style="570" customWidth="1"/>
    <col min="4100" max="4100" width="12" style="570" customWidth="1"/>
    <col min="4101" max="4101" width="11" style="570" customWidth="1"/>
    <col min="4102" max="4102" width="11.7109375" style="570" customWidth="1"/>
    <col min="4103" max="4103" width="8" style="570" customWidth="1"/>
    <col min="4104" max="4104" width="11.42578125" style="570" customWidth="1"/>
    <col min="4105" max="4106" width="12.7109375" style="570" customWidth="1"/>
    <col min="4107" max="4107" width="7.7109375" style="570" customWidth="1"/>
    <col min="4108" max="4108" width="12.28515625" style="570" customWidth="1"/>
    <col min="4109" max="4109" width="11.28515625" style="570" customWidth="1"/>
    <col min="4110" max="4110" width="8.28515625" style="570" customWidth="1"/>
    <col min="4111" max="4111" width="13.28515625" style="570" customWidth="1"/>
    <col min="4112" max="4112" width="11" style="570" customWidth="1"/>
    <col min="4113" max="4348" width="9.140625" style="570"/>
    <col min="4349" max="4349" width="3.7109375" style="570" customWidth="1"/>
    <col min="4350" max="4350" width="9.140625" style="570"/>
    <col min="4351" max="4351" width="27.7109375" style="570" customWidth="1"/>
    <col min="4352" max="4352" width="9.140625" style="570"/>
    <col min="4353" max="4354" width="12" style="570" customWidth="1"/>
    <col min="4355" max="4355" width="11.140625" style="570" customWidth="1"/>
    <col min="4356" max="4356" width="12" style="570" customWidth="1"/>
    <col min="4357" max="4357" width="11" style="570" customWidth="1"/>
    <col min="4358" max="4358" width="11.7109375" style="570" customWidth="1"/>
    <col min="4359" max="4359" width="8" style="570" customWidth="1"/>
    <col min="4360" max="4360" width="11.42578125" style="570" customWidth="1"/>
    <col min="4361" max="4362" width="12.7109375" style="570" customWidth="1"/>
    <col min="4363" max="4363" width="7.7109375" style="570" customWidth="1"/>
    <col min="4364" max="4364" width="12.28515625" style="570" customWidth="1"/>
    <col min="4365" max="4365" width="11.28515625" style="570" customWidth="1"/>
    <col min="4366" max="4366" width="8.28515625" style="570" customWidth="1"/>
    <col min="4367" max="4367" width="13.28515625" style="570" customWidth="1"/>
    <col min="4368" max="4368" width="11" style="570" customWidth="1"/>
    <col min="4369" max="4604" width="9.140625" style="570"/>
    <col min="4605" max="4605" width="3.7109375" style="570" customWidth="1"/>
    <col min="4606" max="4606" width="9.140625" style="570"/>
    <col min="4607" max="4607" width="27.7109375" style="570" customWidth="1"/>
    <col min="4608" max="4608" width="9.140625" style="570"/>
    <col min="4609" max="4610" width="12" style="570" customWidth="1"/>
    <col min="4611" max="4611" width="11.140625" style="570" customWidth="1"/>
    <col min="4612" max="4612" width="12" style="570" customWidth="1"/>
    <col min="4613" max="4613" width="11" style="570" customWidth="1"/>
    <col min="4614" max="4614" width="11.7109375" style="570" customWidth="1"/>
    <col min="4615" max="4615" width="8" style="570" customWidth="1"/>
    <col min="4616" max="4616" width="11.42578125" style="570" customWidth="1"/>
    <col min="4617" max="4618" width="12.7109375" style="570" customWidth="1"/>
    <col min="4619" max="4619" width="7.7109375" style="570" customWidth="1"/>
    <col min="4620" max="4620" width="12.28515625" style="570" customWidth="1"/>
    <col min="4621" max="4621" width="11.28515625" style="570" customWidth="1"/>
    <col min="4622" max="4622" width="8.28515625" style="570" customWidth="1"/>
    <col min="4623" max="4623" width="13.28515625" style="570" customWidth="1"/>
    <col min="4624" max="4624" width="11" style="570" customWidth="1"/>
    <col min="4625" max="4860" width="9.140625" style="570"/>
    <col min="4861" max="4861" width="3.7109375" style="570" customWidth="1"/>
    <col min="4862" max="4862" width="9.140625" style="570"/>
    <col min="4863" max="4863" width="27.7109375" style="570" customWidth="1"/>
    <col min="4864" max="4864" width="9.140625" style="570"/>
    <col min="4865" max="4866" width="12" style="570" customWidth="1"/>
    <col min="4867" max="4867" width="11.140625" style="570" customWidth="1"/>
    <col min="4868" max="4868" width="12" style="570" customWidth="1"/>
    <col min="4869" max="4869" width="11" style="570" customWidth="1"/>
    <col min="4870" max="4870" width="11.7109375" style="570" customWidth="1"/>
    <col min="4871" max="4871" width="8" style="570" customWidth="1"/>
    <col min="4872" max="4872" width="11.42578125" style="570" customWidth="1"/>
    <col min="4873" max="4874" width="12.7109375" style="570" customWidth="1"/>
    <col min="4875" max="4875" width="7.7109375" style="570" customWidth="1"/>
    <col min="4876" max="4876" width="12.28515625" style="570" customWidth="1"/>
    <col min="4877" max="4877" width="11.28515625" style="570" customWidth="1"/>
    <col min="4878" max="4878" width="8.28515625" style="570" customWidth="1"/>
    <col min="4879" max="4879" width="13.28515625" style="570" customWidth="1"/>
    <col min="4880" max="4880" width="11" style="570" customWidth="1"/>
    <col min="4881" max="5116" width="9.140625" style="570"/>
    <col min="5117" max="5117" width="3.7109375" style="570" customWidth="1"/>
    <col min="5118" max="5118" width="9.140625" style="570"/>
    <col min="5119" max="5119" width="27.7109375" style="570" customWidth="1"/>
    <col min="5120" max="5120" width="9.140625" style="570"/>
    <col min="5121" max="5122" width="12" style="570" customWidth="1"/>
    <col min="5123" max="5123" width="11.140625" style="570" customWidth="1"/>
    <col min="5124" max="5124" width="12" style="570" customWidth="1"/>
    <col min="5125" max="5125" width="11" style="570" customWidth="1"/>
    <col min="5126" max="5126" width="11.7109375" style="570" customWidth="1"/>
    <col min="5127" max="5127" width="8" style="570" customWidth="1"/>
    <col min="5128" max="5128" width="11.42578125" style="570" customWidth="1"/>
    <col min="5129" max="5130" width="12.7109375" style="570" customWidth="1"/>
    <col min="5131" max="5131" width="7.7109375" style="570" customWidth="1"/>
    <col min="5132" max="5132" width="12.28515625" style="570" customWidth="1"/>
    <col min="5133" max="5133" width="11.28515625" style="570" customWidth="1"/>
    <col min="5134" max="5134" width="8.28515625" style="570" customWidth="1"/>
    <col min="5135" max="5135" width="13.28515625" style="570" customWidth="1"/>
    <col min="5136" max="5136" width="11" style="570" customWidth="1"/>
    <col min="5137" max="5372" width="9.140625" style="570"/>
    <col min="5373" max="5373" width="3.7109375" style="570" customWidth="1"/>
    <col min="5374" max="5374" width="9.140625" style="570"/>
    <col min="5375" max="5375" width="27.7109375" style="570" customWidth="1"/>
    <col min="5376" max="5376" width="9.140625" style="570"/>
    <col min="5377" max="5378" width="12" style="570" customWidth="1"/>
    <col min="5379" max="5379" width="11.140625" style="570" customWidth="1"/>
    <col min="5380" max="5380" width="12" style="570" customWidth="1"/>
    <col min="5381" max="5381" width="11" style="570" customWidth="1"/>
    <col min="5382" max="5382" width="11.7109375" style="570" customWidth="1"/>
    <col min="5383" max="5383" width="8" style="570" customWidth="1"/>
    <col min="5384" max="5384" width="11.42578125" style="570" customWidth="1"/>
    <col min="5385" max="5386" width="12.7109375" style="570" customWidth="1"/>
    <col min="5387" max="5387" width="7.7109375" style="570" customWidth="1"/>
    <col min="5388" max="5388" width="12.28515625" style="570" customWidth="1"/>
    <col min="5389" max="5389" width="11.28515625" style="570" customWidth="1"/>
    <col min="5390" max="5390" width="8.28515625" style="570" customWidth="1"/>
    <col min="5391" max="5391" width="13.28515625" style="570" customWidth="1"/>
    <col min="5392" max="5392" width="11" style="570" customWidth="1"/>
    <col min="5393" max="5628" width="9.140625" style="570"/>
    <col min="5629" max="5629" width="3.7109375" style="570" customWidth="1"/>
    <col min="5630" max="5630" width="9.140625" style="570"/>
    <col min="5631" max="5631" width="27.7109375" style="570" customWidth="1"/>
    <col min="5632" max="5632" width="9.140625" style="570"/>
    <col min="5633" max="5634" width="12" style="570" customWidth="1"/>
    <col min="5635" max="5635" width="11.140625" style="570" customWidth="1"/>
    <col min="5636" max="5636" width="12" style="570" customWidth="1"/>
    <col min="5637" max="5637" width="11" style="570" customWidth="1"/>
    <col min="5638" max="5638" width="11.7109375" style="570" customWidth="1"/>
    <col min="5639" max="5639" width="8" style="570" customWidth="1"/>
    <col min="5640" max="5640" width="11.42578125" style="570" customWidth="1"/>
    <col min="5641" max="5642" width="12.7109375" style="570" customWidth="1"/>
    <col min="5643" max="5643" width="7.7109375" style="570" customWidth="1"/>
    <col min="5644" max="5644" width="12.28515625" style="570" customWidth="1"/>
    <col min="5645" max="5645" width="11.28515625" style="570" customWidth="1"/>
    <col min="5646" max="5646" width="8.28515625" style="570" customWidth="1"/>
    <col min="5647" max="5647" width="13.28515625" style="570" customWidth="1"/>
    <col min="5648" max="5648" width="11" style="570" customWidth="1"/>
    <col min="5649" max="5884" width="9.140625" style="570"/>
    <col min="5885" max="5885" width="3.7109375" style="570" customWidth="1"/>
    <col min="5886" max="5886" width="9.140625" style="570"/>
    <col min="5887" max="5887" width="27.7109375" style="570" customWidth="1"/>
    <col min="5888" max="5888" width="9.140625" style="570"/>
    <col min="5889" max="5890" width="12" style="570" customWidth="1"/>
    <col min="5891" max="5891" width="11.140625" style="570" customWidth="1"/>
    <col min="5892" max="5892" width="12" style="570" customWidth="1"/>
    <col min="5893" max="5893" width="11" style="570" customWidth="1"/>
    <col min="5894" max="5894" width="11.7109375" style="570" customWidth="1"/>
    <col min="5895" max="5895" width="8" style="570" customWidth="1"/>
    <col min="5896" max="5896" width="11.42578125" style="570" customWidth="1"/>
    <col min="5897" max="5898" width="12.7109375" style="570" customWidth="1"/>
    <col min="5899" max="5899" width="7.7109375" style="570" customWidth="1"/>
    <col min="5900" max="5900" width="12.28515625" style="570" customWidth="1"/>
    <col min="5901" max="5901" width="11.28515625" style="570" customWidth="1"/>
    <col min="5902" max="5902" width="8.28515625" style="570" customWidth="1"/>
    <col min="5903" max="5903" width="13.28515625" style="570" customWidth="1"/>
    <col min="5904" max="5904" width="11" style="570" customWidth="1"/>
    <col min="5905" max="6140" width="9.140625" style="570"/>
    <col min="6141" max="6141" width="3.7109375" style="570" customWidth="1"/>
    <col min="6142" max="6142" width="9.140625" style="570"/>
    <col min="6143" max="6143" width="27.7109375" style="570" customWidth="1"/>
    <col min="6144" max="6144" width="9.140625" style="570"/>
    <col min="6145" max="6146" width="12" style="570" customWidth="1"/>
    <col min="6147" max="6147" width="11.140625" style="570" customWidth="1"/>
    <col min="6148" max="6148" width="12" style="570" customWidth="1"/>
    <col min="6149" max="6149" width="11" style="570" customWidth="1"/>
    <col min="6150" max="6150" width="11.7109375" style="570" customWidth="1"/>
    <col min="6151" max="6151" width="8" style="570" customWidth="1"/>
    <col min="6152" max="6152" width="11.42578125" style="570" customWidth="1"/>
    <col min="6153" max="6154" width="12.7109375" style="570" customWidth="1"/>
    <col min="6155" max="6155" width="7.7109375" style="570" customWidth="1"/>
    <col min="6156" max="6156" width="12.28515625" style="570" customWidth="1"/>
    <col min="6157" max="6157" width="11.28515625" style="570" customWidth="1"/>
    <col min="6158" max="6158" width="8.28515625" style="570" customWidth="1"/>
    <col min="6159" max="6159" width="13.28515625" style="570" customWidth="1"/>
    <col min="6160" max="6160" width="11" style="570" customWidth="1"/>
    <col min="6161" max="6396" width="9.140625" style="570"/>
    <col min="6397" max="6397" width="3.7109375" style="570" customWidth="1"/>
    <col min="6398" max="6398" width="9.140625" style="570"/>
    <col min="6399" max="6399" width="27.7109375" style="570" customWidth="1"/>
    <col min="6400" max="6400" width="9.140625" style="570"/>
    <col min="6401" max="6402" width="12" style="570" customWidth="1"/>
    <col min="6403" max="6403" width="11.140625" style="570" customWidth="1"/>
    <col min="6404" max="6404" width="12" style="570" customWidth="1"/>
    <col min="6405" max="6405" width="11" style="570" customWidth="1"/>
    <col min="6406" max="6406" width="11.7109375" style="570" customWidth="1"/>
    <col min="6407" max="6407" width="8" style="570" customWidth="1"/>
    <col min="6408" max="6408" width="11.42578125" style="570" customWidth="1"/>
    <col min="6409" max="6410" width="12.7109375" style="570" customWidth="1"/>
    <col min="6411" max="6411" width="7.7109375" style="570" customWidth="1"/>
    <col min="6412" max="6412" width="12.28515625" style="570" customWidth="1"/>
    <col min="6413" max="6413" width="11.28515625" style="570" customWidth="1"/>
    <col min="6414" max="6414" width="8.28515625" style="570" customWidth="1"/>
    <col min="6415" max="6415" width="13.28515625" style="570" customWidth="1"/>
    <col min="6416" max="6416" width="11" style="570" customWidth="1"/>
    <col min="6417" max="6652" width="9.140625" style="570"/>
    <col min="6653" max="6653" width="3.7109375" style="570" customWidth="1"/>
    <col min="6654" max="6654" width="9.140625" style="570"/>
    <col min="6655" max="6655" width="27.7109375" style="570" customWidth="1"/>
    <col min="6656" max="6656" width="9.140625" style="570"/>
    <col min="6657" max="6658" width="12" style="570" customWidth="1"/>
    <col min="6659" max="6659" width="11.140625" style="570" customWidth="1"/>
    <col min="6660" max="6660" width="12" style="570" customWidth="1"/>
    <col min="6661" max="6661" width="11" style="570" customWidth="1"/>
    <col min="6662" max="6662" width="11.7109375" style="570" customWidth="1"/>
    <col min="6663" max="6663" width="8" style="570" customWidth="1"/>
    <col min="6664" max="6664" width="11.42578125" style="570" customWidth="1"/>
    <col min="6665" max="6666" width="12.7109375" style="570" customWidth="1"/>
    <col min="6667" max="6667" width="7.7109375" style="570" customWidth="1"/>
    <col min="6668" max="6668" width="12.28515625" style="570" customWidth="1"/>
    <col min="6669" max="6669" width="11.28515625" style="570" customWidth="1"/>
    <col min="6670" max="6670" width="8.28515625" style="570" customWidth="1"/>
    <col min="6671" max="6671" width="13.28515625" style="570" customWidth="1"/>
    <col min="6672" max="6672" width="11" style="570" customWidth="1"/>
    <col min="6673" max="6908" width="9.140625" style="570"/>
    <col min="6909" max="6909" width="3.7109375" style="570" customWidth="1"/>
    <col min="6910" max="6910" width="9.140625" style="570"/>
    <col min="6911" max="6911" width="27.7109375" style="570" customWidth="1"/>
    <col min="6912" max="6912" width="9.140625" style="570"/>
    <col min="6913" max="6914" width="12" style="570" customWidth="1"/>
    <col min="6915" max="6915" width="11.140625" style="570" customWidth="1"/>
    <col min="6916" max="6916" width="12" style="570" customWidth="1"/>
    <col min="6917" max="6917" width="11" style="570" customWidth="1"/>
    <col min="6918" max="6918" width="11.7109375" style="570" customWidth="1"/>
    <col min="6919" max="6919" width="8" style="570" customWidth="1"/>
    <col min="6920" max="6920" width="11.42578125" style="570" customWidth="1"/>
    <col min="6921" max="6922" width="12.7109375" style="570" customWidth="1"/>
    <col min="6923" max="6923" width="7.7109375" style="570" customWidth="1"/>
    <col min="6924" max="6924" width="12.28515625" style="570" customWidth="1"/>
    <col min="6925" max="6925" width="11.28515625" style="570" customWidth="1"/>
    <col min="6926" max="6926" width="8.28515625" style="570" customWidth="1"/>
    <col min="6927" max="6927" width="13.28515625" style="570" customWidth="1"/>
    <col min="6928" max="6928" width="11" style="570" customWidth="1"/>
    <col min="6929" max="7164" width="9.140625" style="570"/>
    <col min="7165" max="7165" width="3.7109375" style="570" customWidth="1"/>
    <col min="7166" max="7166" width="9.140625" style="570"/>
    <col min="7167" max="7167" width="27.7109375" style="570" customWidth="1"/>
    <col min="7168" max="7168" width="9.140625" style="570"/>
    <col min="7169" max="7170" width="12" style="570" customWidth="1"/>
    <col min="7171" max="7171" width="11.140625" style="570" customWidth="1"/>
    <col min="7172" max="7172" width="12" style="570" customWidth="1"/>
    <col min="7173" max="7173" width="11" style="570" customWidth="1"/>
    <col min="7174" max="7174" width="11.7109375" style="570" customWidth="1"/>
    <col min="7175" max="7175" width="8" style="570" customWidth="1"/>
    <col min="7176" max="7176" width="11.42578125" style="570" customWidth="1"/>
    <col min="7177" max="7178" width="12.7109375" style="570" customWidth="1"/>
    <col min="7179" max="7179" width="7.7109375" style="570" customWidth="1"/>
    <col min="7180" max="7180" width="12.28515625" style="570" customWidth="1"/>
    <col min="7181" max="7181" width="11.28515625" style="570" customWidth="1"/>
    <col min="7182" max="7182" width="8.28515625" style="570" customWidth="1"/>
    <col min="7183" max="7183" width="13.28515625" style="570" customWidth="1"/>
    <col min="7184" max="7184" width="11" style="570" customWidth="1"/>
    <col min="7185" max="7420" width="9.140625" style="570"/>
    <col min="7421" max="7421" width="3.7109375" style="570" customWidth="1"/>
    <col min="7422" max="7422" width="9.140625" style="570"/>
    <col min="7423" max="7423" width="27.7109375" style="570" customWidth="1"/>
    <col min="7424" max="7424" width="9.140625" style="570"/>
    <col min="7425" max="7426" width="12" style="570" customWidth="1"/>
    <col min="7427" max="7427" width="11.140625" style="570" customWidth="1"/>
    <col min="7428" max="7428" width="12" style="570" customWidth="1"/>
    <col min="7429" max="7429" width="11" style="570" customWidth="1"/>
    <col min="7430" max="7430" width="11.7109375" style="570" customWidth="1"/>
    <col min="7431" max="7431" width="8" style="570" customWidth="1"/>
    <col min="7432" max="7432" width="11.42578125" style="570" customWidth="1"/>
    <col min="7433" max="7434" width="12.7109375" style="570" customWidth="1"/>
    <col min="7435" max="7435" width="7.7109375" style="570" customWidth="1"/>
    <col min="7436" max="7436" width="12.28515625" style="570" customWidth="1"/>
    <col min="7437" max="7437" width="11.28515625" style="570" customWidth="1"/>
    <col min="7438" max="7438" width="8.28515625" style="570" customWidth="1"/>
    <col min="7439" max="7439" width="13.28515625" style="570" customWidth="1"/>
    <col min="7440" max="7440" width="11" style="570" customWidth="1"/>
    <col min="7441" max="7676" width="9.140625" style="570"/>
    <col min="7677" max="7677" width="3.7109375" style="570" customWidth="1"/>
    <col min="7678" max="7678" width="9.140625" style="570"/>
    <col min="7679" max="7679" width="27.7109375" style="570" customWidth="1"/>
    <col min="7680" max="7680" width="9.140625" style="570"/>
    <col min="7681" max="7682" width="12" style="570" customWidth="1"/>
    <col min="7683" max="7683" width="11.140625" style="570" customWidth="1"/>
    <col min="7684" max="7684" width="12" style="570" customWidth="1"/>
    <col min="7685" max="7685" width="11" style="570" customWidth="1"/>
    <col min="7686" max="7686" width="11.7109375" style="570" customWidth="1"/>
    <col min="7687" max="7687" width="8" style="570" customWidth="1"/>
    <col min="7688" max="7688" width="11.42578125" style="570" customWidth="1"/>
    <col min="7689" max="7690" width="12.7109375" style="570" customWidth="1"/>
    <col min="7691" max="7691" width="7.7109375" style="570" customWidth="1"/>
    <col min="7692" max="7692" width="12.28515625" style="570" customWidth="1"/>
    <col min="7693" max="7693" width="11.28515625" style="570" customWidth="1"/>
    <col min="7694" max="7694" width="8.28515625" style="570" customWidth="1"/>
    <col min="7695" max="7695" width="13.28515625" style="570" customWidth="1"/>
    <col min="7696" max="7696" width="11" style="570" customWidth="1"/>
    <col min="7697" max="7932" width="9.140625" style="570"/>
    <col min="7933" max="7933" width="3.7109375" style="570" customWidth="1"/>
    <col min="7934" max="7934" width="9.140625" style="570"/>
    <col min="7935" max="7935" width="27.7109375" style="570" customWidth="1"/>
    <col min="7936" max="7936" width="9.140625" style="570"/>
    <col min="7937" max="7938" width="12" style="570" customWidth="1"/>
    <col min="7939" max="7939" width="11.140625" style="570" customWidth="1"/>
    <col min="7940" max="7940" width="12" style="570" customWidth="1"/>
    <col min="7941" max="7941" width="11" style="570" customWidth="1"/>
    <col min="7942" max="7942" width="11.7109375" style="570" customWidth="1"/>
    <col min="7943" max="7943" width="8" style="570" customWidth="1"/>
    <col min="7944" max="7944" width="11.42578125" style="570" customWidth="1"/>
    <col min="7945" max="7946" width="12.7109375" style="570" customWidth="1"/>
    <col min="7947" max="7947" width="7.7109375" style="570" customWidth="1"/>
    <col min="7948" max="7948" width="12.28515625" style="570" customWidth="1"/>
    <col min="7949" max="7949" width="11.28515625" style="570" customWidth="1"/>
    <col min="7950" max="7950" width="8.28515625" style="570" customWidth="1"/>
    <col min="7951" max="7951" width="13.28515625" style="570" customWidth="1"/>
    <col min="7952" max="7952" width="11" style="570" customWidth="1"/>
    <col min="7953" max="8188" width="9.140625" style="570"/>
    <col min="8189" max="8189" width="3.7109375" style="570" customWidth="1"/>
    <col min="8190" max="8190" width="9.140625" style="570"/>
    <col min="8191" max="8191" width="27.7109375" style="570" customWidth="1"/>
    <col min="8192" max="8192" width="9.140625" style="570"/>
    <col min="8193" max="8194" width="12" style="570" customWidth="1"/>
    <col min="8195" max="8195" width="11.140625" style="570" customWidth="1"/>
    <col min="8196" max="8196" width="12" style="570" customWidth="1"/>
    <col min="8197" max="8197" width="11" style="570" customWidth="1"/>
    <col min="8198" max="8198" width="11.7109375" style="570" customWidth="1"/>
    <col min="8199" max="8199" width="8" style="570" customWidth="1"/>
    <col min="8200" max="8200" width="11.42578125" style="570" customWidth="1"/>
    <col min="8201" max="8202" width="12.7109375" style="570" customWidth="1"/>
    <col min="8203" max="8203" width="7.7109375" style="570" customWidth="1"/>
    <col min="8204" max="8204" width="12.28515625" style="570" customWidth="1"/>
    <col min="8205" max="8205" width="11.28515625" style="570" customWidth="1"/>
    <col min="8206" max="8206" width="8.28515625" style="570" customWidth="1"/>
    <col min="8207" max="8207" width="13.28515625" style="570" customWidth="1"/>
    <col min="8208" max="8208" width="11" style="570" customWidth="1"/>
    <col min="8209" max="8444" width="9.140625" style="570"/>
    <col min="8445" max="8445" width="3.7109375" style="570" customWidth="1"/>
    <col min="8446" max="8446" width="9.140625" style="570"/>
    <col min="8447" max="8447" width="27.7109375" style="570" customWidth="1"/>
    <col min="8448" max="8448" width="9.140625" style="570"/>
    <col min="8449" max="8450" width="12" style="570" customWidth="1"/>
    <col min="8451" max="8451" width="11.140625" style="570" customWidth="1"/>
    <col min="8452" max="8452" width="12" style="570" customWidth="1"/>
    <col min="8453" max="8453" width="11" style="570" customWidth="1"/>
    <col min="8454" max="8454" width="11.7109375" style="570" customWidth="1"/>
    <col min="8455" max="8455" width="8" style="570" customWidth="1"/>
    <col min="8456" max="8456" width="11.42578125" style="570" customWidth="1"/>
    <col min="8457" max="8458" width="12.7109375" style="570" customWidth="1"/>
    <col min="8459" max="8459" width="7.7109375" style="570" customWidth="1"/>
    <col min="8460" max="8460" width="12.28515625" style="570" customWidth="1"/>
    <col min="8461" max="8461" width="11.28515625" style="570" customWidth="1"/>
    <col min="8462" max="8462" width="8.28515625" style="570" customWidth="1"/>
    <col min="8463" max="8463" width="13.28515625" style="570" customWidth="1"/>
    <col min="8464" max="8464" width="11" style="570" customWidth="1"/>
    <col min="8465" max="8700" width="9.140625" style="570"/>
    <col min="8701" max="8701" width="3.7109375" style="570" customWidth="1"/>
    <col min="8702" max="8702" width="9.140625" style="570"/>
    <col min="8703" max="8703" width="27.7109375" style="570" customWidth="1"/>
    <col min="8704" max="8704" width="9.140625" style="570"/>
    <col min="8705" max="8706" width="12" style="570" customWidth="1"/>
    <col min="8707" max="8707" width="11.140625" style="570" customWidth="1"/>
    <col min="8708" max="8708" width="12" style="570" customWidth="1"/>
    <col min="8709" max="8709" width="11" style="570" customWidth="1"/>
    <col min="8710" max="8710" width="11.7109375" style="570" customWidth="1"/>
    <col min="8711" max="8711" width="8" style="570" customWidth="1"/>
    <col min="8712" max="8712" width="11.42578125" style="570" customWidth="1"/>
    <col min="8713" max="8714" width="12.7109375" style="570" customWidth="1"/>
    <col min="8715" max="8715" width="7.7109375" style="570" customWidth="1"/>
    <col min="8716" max="8716" width="12.28515625" style="570" customWidth="1"/>
    <col min="8717" max="8717" width="11.28515625" style="570" customWidth="1"/>
    <col min="8718" max="8718" width="8.28515625" style="570" customWidth="1"/>
    <col min="8719" max="8719" width="13.28515625" style="570" customWidth="1"/>
    <col min="8720" max="8720" width="11" style="570" customWidth="1"/>
    <col min="8721" max="8956" width="9.140625" style="570"/>
    <col min="8957" max="8957" width="3.7109375" style="570" customWidth="1"/>
    <col min="8958" max="8958" width="9.140625" style="570"/>
    <col min="8959" max="8959" width="27.7109375" style="570" customWidth="1"/>
    <col min="8960" max="8960" width="9.140625" style="570"/>
    <col min="8961" max="8962" width="12" style="570" customWidth="1"/>
    <col min="8963" max="8963" width="11.140625" style="570" customWidth="1"/>
    <col min="8964" max="8964" width="12" style="570" customWidth="1"/>
    <col min="8965" max="8965" width="11" style="570" customWidth="1"/>
    <col min="8966" max="8966" width="11.7109375" style="570" customWidth="1"/>
    <col min="8967" max="8967" width="8" style="570" customWidth="1"/>
    <col min="8968" max="8968" width="11.42578125" style="570" customWidth="1"/>
    <col min="8969" max="8970" width="12.7109375" style="570" customWidth="1"/>
    <col min="8971" max="8971" width="7.7109375" style="570" customWidth="1"/>
    <col min="8972" max="8972" width="12.28515625" style="570" customWidth="1"/>
    <col min="8973" max="8973" width="11.28515625" style="570" customWidth="1"/>
    <col min="8974" max="8974" width="8.28515625" style="570" customWidth="1"/>
    <col min="8975" max="8975" width="13.28515625" style="570" customWidth="1"/>
    <col min="8976" max="8976" width="11" style="570" customWidth="1"/>
    <col min="8977" max="9212" width="9.140625" style="570"/>
    <col min="9213" max="9213" width="3.7109375" style="570" customWidth="1"/>
    <col min="9214" max="9214" width="9.140625" style="570"/>
    <col min="9215" max="9215" width="27.7109375" style="570" customWidth="1"/>
    <col min="9216" max="9216" width="9.140625" style="570"/>
    <col min="9217" max="9218" width="12" style="570" customWidth="1"/>
    <col min="9219" max="9219" width="11.140625" style="570" customWidth="1"/>
    <col min="9220" max="9220" width="12" style="570" customWidth="1"/>
    <col min="9221" max="9221" width="11" style="570" customWidth="1"/>
    <col min="9222" max="9222" width="11.7109375" style="570" customWidth="1"/>
    <col min="9223" max="9223" width="8" style="570" customWidth="1"/>
    <col min="9224" max="9224" width="11.42578125" style="570" customWidth="1"/>
    <col min="9225" max="9226" width="12.7109375" style="570" customWidth="1"/>
    <col min="9227" max="9227" width="7.7109375" style="570" customWidth="1"/>
    <col min="9228" max="9228" width="12.28515625" style="570" customWidth="1"/>
    <col min="9229" max="9229" width="11.28515625" style="570" customWidth="1"/>
    <col min="9230" max="9230" width="8.28515625" style="570" customWidth="1"/>
    <col min="9231" max="9231" width="13.28515625" style="570" customWidth="1"/>
    <col min="9232" max="9232" width="11" style="570" customWidth="1"/>
    <col min="9233" max="9468" width="9.140625" style="570"/>
    <col min="9469" max="9469" width="3.7109375" style="570" customWidth="1"/>
    <col min="9470" max="9470" width="9.140625" style="570"/>
    <col min="9471" max="9471" width="27.7109375" style="570" customWidth="1"/>
    <col min="9472" max="9472" width="9.140625" style="570"/>
    <col min="9473" max="9474" width="12" style="570" customWidth="1"/>
    <col min="9475" max="9475" width="11.140625" style="570" customWidth="1"/>
    <col min="9476" max="9476" width="12" style="570" customWidth="1"/>
    <col min="9477" max="9477" width="11" style="570" customWidth="1"/>
    <col min="9478" max="9478" width="11.7109375" style="570" customWidth="1"/>
    <col min="9479" max="9479" width="8" style="570" customWidth="1"/>
    <col min="9480" max="9480" width="11.42578125" style="570" customWidth="1"/>
    <col min="9481" max="9482" width="12.7109375" style="570" customWidth="1"/>
    <col min="9483" max="9483" width="7.7109375" style="570" customWidth="1"/>
    <col min="9484" max="9484" width="12.28515625" style="570" customWidth="1"/>
    <col min="9485" max="9485" width="11.28515625" style="570" customWidth="1"/>
    <col min="9486" max="9486" width="8.28515625" style="570" customWidth="1"/>
    <col min="9487" max="9487" width="13.28515625" style="570" customWidth="1"/>
    <col min="9488" max="9488" width="11" style="570" customWidth="1"/>
    <col min="9489" max="9724" width="9.140625" style="570"/>
    <col min="9725" max="9725" width="3.7109375" style="570" customWidth="1"/>
    <col min="9726" max="9726" width="9.140625" style="570"/>
    <col min="9727" max="9727" width="27.7109375" style="570" customWidth="1"/>
    <col min="9728" max="9728" width="9.140625" style="570"/>
    <col min="9729" max="9730" width="12" style="570" customWidth="1"/>
    <col min="9731" max="9731" width="11.140625" style="570" customWidth="1"/>
    <col min="9732" max="9732" width="12" style="570" customWidth="1"/>
    <col min="9733" max="9733" width="11" style="570" customWidth="1"/>
    <col min="9734" max="9734" width="11.7109375" style="570" customWidth="1"/>
    <col min="9735" max="9735" width="8" style="570" customWidth="1"/>
    <col min="9736" max="9736" width="11.42578125" style="570" customWidth="1"/>
    <col min="9737" max="9738" width="12.7109375" style="570" customWidth="1"/>
    <col min="9739" max="9739" width="7.7109375" style="570" customWidth="1"/>
    <col min="9740" max="9740" width="12.28515625" style="570" customWidth="1"/>
    <col min="9741" max="9741" width="11.28515625" style="570" customWidth="1"/>
    <col min="9742" max="9742" width="8.28515625" style="570" customWidth="1"/>
    <col min="9743" max="9743" width="13.28515625" style="570" customWidth="1"/>
    <col min="9744" max="9744" width="11" style="570" customWidth="1"/>
    <col min="9745" max="9980" width="9.140625" style="570"/>
    <col min="9981" max="9981" width="3.7109375" style="570" customWidth="1"/>
    <col min="9982" max="9982" width="9.140625" style="570"/>
    <col min="9983" max="9983" width="27.7109375" style="570" customWidth="1"/>
    <col min="9984" max="9984" width="9.140625" style="570"/>
    <col min="9985" max="9986" width="12" style="570" customWidth="1"/>
    <col min="9987" max="9987" width="11.140625" style="570" customWidth="1"/>
    <col min="9988" max="9988" width="12" style="570" customWidth="1"/>
    <col min="9989" max="9989" width="11" style="570" customWidth="1"/>
    <col min="9990" max="9990" width="11.7109375" style="570" customWidth="1"/>
    <col min="9991" max="9991" width="8" style="570" customWidth="1"/>
    <col min="9992" max="9992" width="11.42578125" style="570" customWidth="1"/>
    <col min="9993" max="9994" width="12.7109375" style="570" customWidth="1"/>
    <col min="9995" max="9995" width="7.7109375" style="570" customWidth="1"/>
    <col min="9996" max="9996" width="12.28515625" style="570" customWidth="1"/>
    <col min="9997" max="9997" width="11.28515625" style="570" customWidth="1"/>
    <col min="9998" max="9998" width="8.28515625" style="570" customWidth="1"/>
    <col min="9999" max="9999" width="13.28515625" style="570" customWidth="1"/>
    <col min="10000" max="10000" width="11" style="570" customWidth="1"/>
    <col min="10001" max="10236" width="9.140625" style="570"/>
    <col min="10237" max="10237" width="3.7109375" style="570" customWidth="1"/>
    <col min="10238" max="10238" width="9.140625" style="570"/>
    <col min="10239" max="10239" width="27.7109375" style="570" customWidth="1"/>
    <col min="10240" max="10240" width="9.140625" style="570"/>
    <col min="10241" max="10242" width="12" style="570" customWidth="1"/>
    <col min="10243" max="10243" width="11.140625" style="570" customWidth="1"/>
    <col min="10244" max="10244" width="12" style="570" customWidth="1"/>
    <col min="10245" max="10245" width="11" style="570" customWidth="1"/>
    <col min="10246" max="10246" width="11.7109375" style="570" customWidth="1"/>
    <col min="10247" max="10247" width="8" style="570" customWidth="1"/>
    <col min="10248" max="10248" width="11.42578125" style="570" customWidth="1"/>
    <col min="10249" max="10250" width="12.7109375" style="570" customWidth="1"/>
    <col min="10251" max="10251" width="7.7109375" style="570" customWidth="1"/>
    <col min="10252" max="10252" width="12.28515625" style="570" customWidth="1"/>
    <col min="10253" max="10253" width="11.28515625" style="570" customWidth="1"/>
    <col min="10254" max="10254" width="8.28515625" style="570" customWidth="1"/>
    <col min="10255" max="10255" width="13.28515625" style="570" customWidth="1"/>
    <col min="10256" max="10256" width="11" style="570" customWidth="1"/>
    <col min="10257" max="10492" width="9.140625" style="570"/>
    <col min="10493" max="10493" width="3.7109375" style="570" customWidth="1"/>
    <col min="10494" max="10494" width="9.140625" style="570"/>
    <col min="10495" max="10495" width="27.7109375" style="570" customWidth="1"/>
    <col min="10496" max="10496" width="9.140625" style="570"/>
    <col min="10497" max="10498" width="12" style="570" customWidth="1"/>
    <col min="10499" max="10499" width="11.140625" style="570" customWidth="1"/>
    <col min="10500" max="10500" width="12" style="570" customWidth="1"/>
    <col min="10501" max="10501" width="11" style="570" customWidth="1"/>
    <col min="10502" max="10502" width="11.7109375" style="570" customWidth="1"/>
    <col min="10503" max="10503" width="8" style="570" customWidth="1"/>
    <col min="10504" max="10504" width="11.42578125" style="570" customWidth="1"/>
    <col min="10505" max="10506" width="12.7109375" style="570" customWidth="1"/>
    <col min="10507" max="10507" width="7.7109375" style="570" customWidth="1"/>
    <col min="10508" max="10508" width="12.28515625" style="570" customWidth="1"/>
    <col min="10509" max="10509" width="11.28515625" style="570" customWidth="1"/>
    <col min="10510" max="10510" width="8.28515625" style="570" customWidth="1"/>
    <col min="10511" max="10511" width="13.28515625" style="570" customWidth="1"/>
    <col min="10512" max="10512" width="11" style="570" customWidth="1"/>
    <col min="10513" max="10748" width="9.140625" style="570"/>
    <col min="10749" max="10749" width="3.7109375" style="570" customWidth="1"/>
    <col min="10750" max="10750" width="9.140625" style="570"/>
    <col min="10751" max="10751" width="27.7109375" style="570" customWidth="1"/>
    <col min="10752" max="10752" width="9.140625" style="570"/>
    <col min="10753" max="10754" width="12" style="570" customWidth="1"/>
    <col min="10755" max="10755" width="11.140625" style="570" customWidth="1"/>
    <col min="10756" max="10756" width="12" style="570" customWidth="1"/>
    <col min="10757" max="10757" width="11" style="570" customWidth="1"/>
    <col min="10758" max="10758" width="11.7109375" style="570" customWidth="1"/>
    <col min="10759" max="10759" width="8" style="570" customWidth="1"/>
    <col min="10760" max="10760" width="11.42578125" style="570" customWidth="1"/>
    <col min="10761" max="10762" width="12.7109375" style="570" customWidth="1"/>
    <col min="10763" max="10763" width="7.7109375" style="570" customWidth="1"/>
    <col min="10764" max="10764" width="12.28515625" style="570" customWidth="1"/>
    <col min="10765" max="10765" width="11.28515625" style="570" customWidth="1"/>
    <col min="10766" max="10766" width="8.28515625" style="570" customWidth="1"/>
    <col min="10767" max="10767" width="13.28515625" style="570" customWidth="1"/>
    <col min="10768" max="10768" width="11" style="570" customWidth="1"/>
    <col min="10769" max="11004" width="9.140625" style="570"/>
    <col min="11005" max="11005" width="3.7109375" style="570" customWidth="1"/>
    <col min="11006" max="11006" width="9.140625" style="570"/>
    <col min="11007" max="11007" width="27.7109375" style="570" customWidth="1"/>
    <col min="11008" max="11008" width="9.140625" style="570"/>
    <col min="11009" max="11010" width="12" style="570" customWidth="1"/>
    <col min="11011" max="11011" width="11.140625" style="570" customWidth="1"/>
    <col min="11012" max="11012" width="12" style="570" customWidth="1"/>
    <col min="11013" max="11013" width="11" style="570" customWidth="1"/>
    <col min="11014" max="11014" width="11.7109375" style="570" customWidth="1"/>
    <col min="11015" max="11015" width="8" style="570" customWidth="1"/>
    <col min="11016" max="11016" width="11.42578125" style="570" customWidth="1"/>
    <col min="11017" max="11018" width="12.7109375" style="570" customWidth="1"/>
    <col min="11019" max="11019" width="7.7109375" style="570" customWidth="1"/>
    <col min="11020" max="11020" width="12.28515625" style="570" customWidth="1"/>
    <col min="11021" max="11021" width="11.28515625" style="570" customWidth="1"/>
    <col min="11022" max="11022" width="8.28515625" style="570" customWidth="1"/>
    <col min="11023" max="11023" width="13.28515625" style="570" customWidth="1"/>
    <col min="11024" max="11024" width="11" style="570" customWidth="1"/>
    <col min="11025" max="11260" width="9.140625" style="570"/>
    <col min="11261" max="11261" width="3.7109375" style="570" customWidth="1"/>
    <col min="11262" max="11262" width="9.140625" style="570"/>
    <col min="11263" max="11263" width="27.7109375" style="570" customWidth="1"/>
    <col min="11264" max="11264" width="9.140625" style="570"/>
    <col min="11265" max="11266" width="12" style="570" customWidth="1"/>
    <col min="11267" max="11267" width="11.140625" style="570" customWidth="1"/>
    <col min="11268" max="11268" width="12" style="570" customWidth="1"/>
    <col min="11269" max="11269" width="11" style="570" customWidth="1"/>
    <col min="11270" max="11270" width="11.7109375" style="570" customWidth="1"/>
    <col min="11271" max="11271" width="8" style="570" customWidth="1"/>
    <col min="11272" max="11272" width="11.42578125" style="570" customWidth="1"/>
    <col min="11273" max="11274" width="12.7109375" style="570" customWidth="1"/>
    <col min="11275" max="11275" width="7.7109375" style="570" customWidth="1"/>
    <col min="11276" max="11276" width="12.28515625" style="570" customWidth="1"/>
    <col min="11277" max="11277" width="11.28515625" style="570" customWidth="1"/>
    <col min="11278" max="11278" width="8.28515625" style="570" customWidth="1"/>
    <col min="11279" max="11279" width="13.28515625" style="570" customWidth="1"/>
    <col min="11280" max="11280" width="11" style="570" customWidth="1"/>
    <col min="11281" max="11516" width="9.140625" style="570"/>
    <col min="11517" max="11517" width="3.7109375" style="570" customWidth="1"/>
    <col min="11518" max="11518" width="9.140625" style="570"/>
    <col min="11519" max="11519" width="27.7109375" style="570" customWidth="1"/>
    <col min="11520" max="11520" width="9.140625" style="570"/>
    <col min="11521" max="11522" width="12" style="570" customWidth="1"/>
    <col min="11523" max="11523" width="11.140625" style="570" customWidth="1"/>
    <col min="11524" max="11524" width="12" style="570" customWidth="1"/>
    <col min="11525" max="11525" width="11" style="570" customWidth="1"/>
    <col min="11526" max="11526" width="11.7109375" style="570" customWidth="1"/>
    <col min="11527" max="11527" width="8" style="570" customWidth="1"/>
    <col min="11528" max="11528" width="11.42578125" style="570" customWidth="1"/>
    <col min="11529" max="11530" width="12.7109375" style="570" customWidth="1"/>
    <col min="11531" max="11531" width="7.7109375" style="570" customWidth="1"/>
    <col min="11532" max="11532" width="12.28515625" style="570" customWidth="1"/>
    <col min="11533" max="11533" width="11.28515625" style="570" customWidth="1"/>
    <col min="11534" max="11534" width="8.28515625" style="570" customWidth="1"/>
    <col min="11535" max="11535" width="13.28515625" style="570" customWidth="1"/>
    <col min="11536" max="11536" width="11" style="570" customWidth="1"/>
    <col min="11537" max="11772" width="9.140625" style="570"/>
    <col min="11773" max="11773" width="3.7109375" style="570" customWidth="1"/>
    <col min="11774" max="11774" width="9.140625" style="570"/>
    <col min="11775" max="11775" width="27.7109375" style="570" customWidth="1"/>
    <col min="11776" max="11776" width="9.140625" style="570"/>
    <col min="11777" max="11778" width="12" style="570" customWidth="1"/>
    <col min="11779" max="11779" width="11.140625" style="570" customWidth="1"/>
    <col min="11780" max="11780" width="12" style="570" customWidth="1"/>
    <col min="11781" max="11781" width="11" style="570" customWidth="1"/>
    <col min="11782" max="11782" width="11.7109375" style="570" customWidth="1"/>
    <col min="11783" max="11783" width="8" style="570" customWidth="1"/>
    <col min="11784" max="11784" width="11.42578125" style="570" customWidth="1"/>
    <col min="11785" max="11786" width="12.7109375" style="570" customWidth="1"/>
    <col min="11787" max="11787" width="7.7109375" style="570" customWidth="1"/>
    <col min="11788" max="11788" width="12.28515625" style="570" customWidth="1"/>
    <col min="11789" max="11789" width="11.28515625" style="570" customWidth="1"/>
    <col min="11790" max="11790" width="8.28515625" style="570" customWidth="1"/>
    <col min="11791" max="11791" width="13.28515625" style="570" customWidth="1"/>
    <col min="11792" max="11792" width="11" style="570" customWidth="1"/>
    <col min="11793" max="12028" width="9.140625" style="570"/>
    <col min="12029" max="12029" width="3.7109375" style="570" customWidth="1"/>
    <col min="12030" max="12030" width="9.140625" style="570"/>
    <col min="12031" max="12031" width="27.7109375" style="570" customWidth="1"/>
    <col min="12032" max="12032" width="9.140625" style="570"/>
    <col min="12033" max="12034" width="12" style="570" customWidth="1"/>
    <col min="12035" max="12035" width="11.140625" style="570" customWidth="1"/>
    <col min="12036" max="12036" width="12" style="570" customWidth="1"/>
    <col min="12037" max="12037" width="11" style="570" customWidth="1"/>
    <col min="12038" max="12038" width="11.7109375" style="570" customWidth="1"/>
    <col min="12039" max="12039" width="8" style="570" customWidth="1"/>
    <col min="12040" max="12040" width="11.42578125" style="570" customWidth="1"/>
    <col min="12041" max="12042" width="12.7109375" style="570" customWidth="1"/>
    <col min="12043" max="12043" width="7.7109375" style="570" customWidth="1"/>
    <col min="12044" max="12044" width="12.28515625" style="570" customWidth="1"/>
    <col min="12045" max="12045" width="11.28515625" style="570" customWidth="1"/>
    <col min="12046" max="12046" width="8.28515625" style="570" customWidth="1"/>
    <col min="12047" max="12047" width="13.28515625" style="570" customWidth="1"/>
    <col min="12048" max="12048" width="11" style="570" customWidth="1"/>
    <col min="12049" max="12284" width="9.140625" style="570"/>
    <col min="12285" max="12285" width="3.7109375" style="570" customWidth="1"/>
    <col min="12286" max="12286" width="9.140625" style="570"/>
    <col min="12287" max="12287" width="27.7109375" style="570" customWidth="1"/>
    <col min="12288" max="12288" width="9.140625" style="570"/>
    <col min="12289" max="12290" width="12" style="570" customWidth="1"/>
    <col min="12291" max="12291" width="11.140625" style="570" customWidth="1"/>
    <col min="12292" max="12292" width="12" style="570" customWidth="1"/>
    <col min="12293" max="12293" width="11" style="570" customWidth="1"/>
    <col min="12294" max="12294" width="11.7109375" style="570" customWidth="1"/>
    <col min="12295" max="12295" width="8" style="570" customWidth="1"/>
    <col min="12296" max="12296" width="11.42578125" style="570" customWidth="1"/>
    <col min="12297" max="12298" width="12.7109375" style="570" customWidth="1"/>
    <col min="12299" max="12299" width="7.7109375" style="570" customWidth="1"/>
    <col min="12300" max="12300" width="12.28515625" style="570" customWidth="1"/>
    <col min="12301" max="12301" width="11.28515625" style="570" customWidth="1"/>
    <col min="12302" max="12302" width="8.28515625" style="570" customWidth="1"/>
    <col min="12303" max="12303" width="13.28515625" style="570" customWidth="1"/>
    <col min="12304" max="12304" width="11" style="570" customWidth="1"/>
    <col min="12305" max="12540" width="9.140625" style="570"/>
    <col min="12541" max="12541" width="3.7109375" style="570" customWidth="1"/>
    <col min="12542" max="12542" width="9.140625" style="570"/>
    <col min="12543" max="12543" width="27.7109375" style="570" customWidth="1"/>
    <col min="12544" max="12544" width="9.140625" style="570"/>
    <col min="12545" max="12546" width="12" style="570" customWidth="1"/>
    <col min="12547" max="12547" width="11.140625" style="570" customWidth="1"/>
    <col min="12548" max="12548" width="12" style="570" customWidth="1"/>
    <col min="12549" max="12549" width="11" style="570" customWidth="1"/>
    <col min="12550" max="12550" width="11.7109375" style="570" customWidth="1"/>
    <col min="12551" max="12551" width="8" style="570" customWidth="1"/>
    <col min="12552" max="12552" width="11.42578125" style="570" customWidth="1"/>
    <col min="12553" max="12554" width="12.7109375" style="570" customWidth="1"/>
    <col min="12555" max="12555" width="7.7109375" style="570" customWidth="1"/>
    <col min="12556" max="12556" width="12.28515625" style="570" customWidth="1"/>
    <col min="12557" max="12557" width="11.28515625" style="570" customWidth="1"/>
    <col min="12558" max="12558" width="8.28515625" style="570" customWidth="1"/>
    <col min="12559" max="12559" width="13.28515625" style="570" customWidth="1"/>
    <col min="12560" max="12560" width="11" style="570" customWidth="1"/>
    <col min="12561" max="12796" width="9.140625" style="570"/>
    <col min="12797" max="12797" width="3.7109375" style="570" customWidth="1"/>
    <col min="12798" max="12798" width="9.140625" style="570"/>
    <col min="12799" max="12799" width="27.7109375" style="570" customWidth="1"/>
    <col min="12800" max="12800" width="9.140625" style="570"/>
    <col min="12801" max="12802" width="12" style="570" customWidth="1"/>
    <col min="12803" max="12803" width="11.140625" style="570" customWidth="1"/>
    <col min="12804" max="12804" width="12" style="570" customWidth="1"/>
    <col min="12805" max="12805" width="11" style="570" customWidth="1"/>
    <col min="12806" max="12806" width="11.7109375" style="570" customWidth="1"/>
    <col min="12807" max="12807" width="8" style="570" customWidth="1"/>
    <col min="12808" max="12808" width="11.42578125" style="570" customWidth="1"/>
    <col min="12809" max="12810" width="12.7109375" style="570" customWidth="1"/>
    <col min="12811" max="12811" width="7.7109375" style="570" customWidth="1"/>
    <col min="12812" max="12812" width="12.28515625" style="570" customWidth="1"/>
    <col min="12813" max="12813" width="11.28515625" style="570" customWidth="1"/>
    <col min="12814" max="12814" width="8.28515625" style="570" customWidth="1"/>
    <col min="12815" max="12815" width="13.28515625" style="570" customWidth="1"/>
    <col min="12816" max="12816" width="11" style="570" customWidth="1"/>
    <col min="12817" max="13052" width="9.140625" style="570"/>
    <col min="13053" max="13053" width="3.7109375" style="570" customWidth="1"/>
    <col min="13054" max="13054" width="9.140625" style="570"/>
    <col min="13055" max="13055" width="27.7109375" style="570" customWidth="1"/>
    <col min="13056" max="13056" width="9.140625" style="570"/>
    <col min="13057" max="13058" width="12" style="570" customWidth="1"/>
    <col min="13059" max="13059" width="11.140625" style="570" customWidth="1"/>
    <col min="13060" max="13060" width="12" style="570" customWidth="1"/>
    <col min="13061" max="13061" width="11" style="570" customWidth="1"/>
    <col min="13062" max="13062" width="11.7109375" style="570" customWidth="1"/>
    <col min="13063" max="13063" width="8" style="570" customWidth="1"/>
    <col min="13064" max="13064" width="11.42578125" style="570" customWidth="1"/>
    <col min="13065" max="13066" width="12.7109375" style="570" customWidth="1"/>
    <col min="13067" max="13067" width="7.7109375" style="570" customWidth="1"/>
    <col min="13068" max="13068" width="12.28515625" style="570" customWidth="1"/>
    <col min="13069" max="13069" width="11.28515625" style="570" customWidth="1"/>
    <col min="13070" max="13070" width="8.28515625" style="570" customWidth="1"/>
    <col min="13071" max="13071" width="13.28515625" style="570" customWidth="1"/>
    <col min="13072" max="13072" width="11" style="570" customWidth="1"/>
    <col min="13073" max="13308" width="9.140625" style="570"/>
    <col min="13309" max="13309" width="3.7109375" style="570" customWidth="1"/>
    <col min="13310" max="13310" width="9.140625" style="570"/>
    <col min="13311" max="13311" width="27.7109375" style="570" customWidth="1"/>
    <col min="13312" max="13312" width="9.140625" style="570"/>
    <col min="13313" max="13314" width="12" style="570" customWidth="1"/>
    <col min="13315" max="13315" width="11.140625" style="570" customWidth="1"/>
    <col min="13316" max="13316" width="12" style="570" customWidth="1"/>
    <col min="13317" max="13317" width="11" style="570" customWidth="1"/>
    <col min="13318" max="13318" width="11.7109375" style="570" customWidth="1"/>
    <col min="13319" max="13319" width="8" style="570" customWidth="1"/>
    <col min="13320" max="13320" width="11.42578125" style="570" customWidth="1"/>
    <col min="13321" max="13322" width="12.7109375" style="570" customWidth="1"/>
    <col min="13323" max="13323" width="7.7109375" style="570" customWidth="1"/>
    <col min="13324" max="13324" width="12.28515625" style="570" customWidth="1"/>
    <col min="13325" max="13325" width="11.28515625" style="570" customWidth="1"/>
    <col min="13326" max="13326" width="8.28515625" style="570" customWidth="1"/>
    <col min="13327" max="13327" width="13.28515625" style="570" customWidth="1"/>
    <col min="13328" max="13328" width="11" style="570" customWidth="1"/>
    <col min="13329" max="13564" width="9.140625" style="570"/>
    <col min="13565" max="13565" width="3.7109375" style="570" customWidth="1"/>
    <col min="13566" max="13566" width="9.140625" style="570"/>
    <col min="13567" max="13567" width="27.7109375" style="570" customWidth="1"/>
    <col min="13568" max="13568" width="9.140625" style="570"/>
    <col min="13569" max="13570" width="12" style="570" customWidth="1"/>
    <col min="13571" max="13571" width="11.140625" style="570" customWidth="1"/>
    <col min="13572" max="13572" width="12" style="570" customWidth="1"/>
    <col min="13573" max="13573" width="11" style="570" customWidth="1"/>
    <col min="13574" max="13574" width="11.7109375" style="570" customWidth="1"/>
    <col min="13575" max="13575" width="8" style="570" customWidth="1"/>
    <col min="13576" max="13576" width="11.42578125" style="570" customWidth="1"/>
    <col min="13577" max="13578" width="12.7109375" style="570" customWidth="1"/>
    <col min="13579" max="13579" width="7.7109375" style="570" customWidth="1"/>
    <col min="13580" max="13580" width="12.28515625" style="570" customWidth="1"/>
    <col min="13581" max="13581" width="11.28515625" style="570" customWidth="1"/>
    <col min="13582" max="13582" width="8.28515625" style="570" customWidth="1"/>
    <col min="13583" max="13583" width="13.28515625" style="570" customWidth="1"/>
    <col min="13584" max="13584" width="11" style="570" customWidth="1"/>
    <col min="13585" max="13820" width="9.140625" style="570"/>
    <col min="13821" max="13821" width="3.7109375" style="570" customWidth="1"/>
    <col min="13822" max="13822" width="9.140625" style="570"/>
    <col min="13823" max="13823" width="27.7109375" style="570" customWidth="1"/>
    <col min="13824" max="13824" width="9.140625" style="570"/>
    <col min="13825" max="13826" width="12" style="570" customWidth="1"/>
    <col min="13827" max="13827" width="11.140625" style="570" customWidth="1"/>
    <col min="13828" max="13828" width="12" style="570" customWidth="1"/>
    <col min="13829" max="13829" width="11" style="570" customWidth="1"/>
    <col min="13830" max="13830" width="11.7109375" style="570" customWidth="1"/>
    <col min="13831" max="13831" width="8" style="570" customWidth="1"/>
    <col min="13832" max="13832" width="11.42578125" style="570" customWidth="1"/>
    <col min="13833" max="13834" width="12.7109375" style="570" customWidth="1"/>
    <col min="13835" max="13835" width="7.7109375" style="570" customWidth="1"/>
    <col min="13836" max="13836" width="12.28515625" style="570" customWidth="1"/>
    <col min="13837" max="13837" width="11.28515625" style="570" customWidth="1"/>
    <col min="13838" max="13838" width="8.28515625" style="570" customWidth="1"/>
    <col min="13839" max="13839" width="13.28515625" style="570" customWidth="1"/>
    <col min="13840" max="13840" width="11" style="570" customWidth="1"/>
    <col min="13841" max="14076" width="9.140625" style="570"/>
    <col min="14077" max="14077" width="3.7109375" style="570" customWidth="1"/>
    <col min="14078" max="14078" width="9.140625" style="570"/>
    <col min="14079" max="14079" width="27.7109375" style="570" customWidth="1"/>
    <col min="14080" max="14080" width="9.140625" style="570"/>
    <col min="14081" max="14082" width="12" style="570" customWidth="1"/>
    <col min="14083" max="14083" width="11.140625" style="570" customWidth="1"/>
    <col min="14084" max="14084" width="12" style="570" customWidth="1"/>
    <col min="14085" max="14085" width="11" style="570" customWidth="1"/>
    <col min="14086" max="14086" width="11.7109375" style="570" customWidth="1"/>
    <col min="14087" max="14087" width="8" style="570" customWidth="1"/>
    <col min="14088" max="14088" width="11.42578125" style="570" customWidth="1"/>
    <col min="14089" max="14090" width="12.7109375" style="570" customWidth="1"/>
    <col min="14091" max="14091" width="7.7109375" style="570" customWidth="1"/>
    <col min="14092" max="14092" width="12.28515625" style="570" customWidth="1"/>
    <col min="14093" max="14093" width="11.28515625" style="570" customWidth="1"/>
    <col min="14094" max="14094" width="8.28515625" style="570" customWidth="1"/>
    <col min="14095" max="14095" width="13.28515625" style="570" customWidth="1"/>
    <col min="14096" max="14096" width="11" style="570" customWidth="1"/>
    <col min="14097" max="14332" width="9.140625" style="570"/>
    <col min="14333" max="14333" width="3.7109375" style="570" customWidth="1"/>
    <col min="14334" max="14334" width="9.140625" style="570"/>
    <col min="14335" max="14335" width="27.7109375" style="570" customWidth="1"/>
    <col min="14336" max="14336" width="9.140625" style="570"/>
    <col min="14337" max="14338" width="12" style="570" customWidth="1"/>
    <col min="14339" max="14339" width="11.140625" style="570" customWidth="1"/>
    <col min="14340" max="14340" width="12" style="570" customWidth="1"/>
    <col min="14341" max="14341" width="11" style="570" customWidth="1"/>
    <col min="14342" max="14342" width="11.7109375" style="570" customWidth="1"/>
    <col min="14343" max="14343" width="8" style="570" customWidth="1"/>
    <col min="14344" max="14344" width="11.42578125" style="570" customWidth="1"/>
    <col min="14345" max="14346" width="12.7109375" style="570" customWidth="1"/>
    <col min="14347" max="14347" width="7.7109375" style="570" customWidth="1"/>
    <col min="14348" max="14348" width="12.28515625" style="570" customWidth="1"/>
    <col min="14349" max="14349" width="11.28515625" style="570" customWidth="1"/>
    <col min="14350" max="14350" width="8.28515625" style="570" customWidth="1"/>
    <col min="14351" max="14351" width="13.28515625" style="570" customWidth="1"/>
    <col min="14352" max="14352" width="11" style="570" customWidth="1"/>
    <col min="14353" max="14588" width="9.140625" style="570"/>
    <col min="14589" max="14589" width="3.7109375" style="570" customWidth="1"/>
    <col min="14590" max="14590" width="9.140625" style="570"/>
    <col min="14591" max="14591" width="27.7109375" style="570" customWidth="1"/>
    <col min="14592" max="14592" width="9.140625" style="570"/>
    <col min="14593" max="14594" width="12" style="570" customWidth="1"/>
    <col min="14595" max="14595" width="11.140625" style="570" customWidth="1"/>
    <col min="14596" max="14596" width="12" style="570" customWidth="1"/>
    <col min="14597" max="14597" width="11" style="570" customWidth="1"/>
    <col min="14598" max="14598" width="11.7109375" style="570" customWidth="1"/>
    <col min="14599" max="14599" width="8" style="570" customWidth="1"/>
    <col min="14600" max="14600" width="11.42578125" style="570" customWidth="1"/>
    <col min="14601" max="14602" width="12.7109375" style="570" customWidth="1"/>
    <col min="14603" max="14603" width="7.7109375" style="570" customWidth="1"/>
    <col min="14604" max="14604" width="12.28515625" style="570" customWidth="1"/>
    <col min="14605" max="14605" width="11.28515625" style="570" customWidth="1"/>
    <col min="14606" max="14606" width="8.28515625" style="570" customWidth="1"/>
    <col min="14607" max="14607" width="13.28515625" style="570" customWidth="1"/>
    <col min="14608" max="14608" width="11" style="570" customWidth="1"/>
    <col min="14609" max="14844" width="9.140625" style="570"/>
    <col min="14845" max="14845" width="3.7109375" style="570" customWidth="1"/>
    <col min="14846" max="14846" width="9.140625" style="570"/>
    <col min="14847" max="14847" width="27.7109375" style="570" customWidth="1"/>
    <col min="14848" max="14848" width="9.140625" style="570"/>
    <col min="14849" max="14850" width="12" style="570" customWidth="1"/>
    <col min="14851" max="14851" width="11.140625" style="570" customWidth="1"/>
    <col min="14852" max="14852" width="12" style="570" customWidth="1"/>
    <col min="14853" max="14853" width="11" style="570" customWidth="1"/>
    <col min="14854" max="14854" width="11.7109375" style="570" customWidth="1"/>
    <col min="14855" max="14855" width="8" style="570" customWidth="1"/>
    <col min="14856" max="14856" width="11.42578125" style="570" customWidth="1"/>
    <col min="14857" max="14858" width="12.7109375" style="570" customWidth="1"/>
    <col min="14859" max="14859" width="7.7109375" style="570" customWidth="1"/>
    <col min="14860" max="14860" width="12.28515625" style="570" customWidth="1"/>
    <col min="14861" max="14861" width="11.28515625" style="570" customWidth="1"/>
    <col min="14862" max="14862" width="8.28515625" style="570" customWidth="1"/>
    <col min="14863" max="14863" width="13.28515625" style="570" customWidth="1"/>
    <col min="14864" max="14864" width="11" style="570" customWidth="1"/>
    <col min="14865" max="15100" width="9.140625" style="570"/>
    <col min="15101" max="15101" width="3.7109375" style="570" customWidth="1"/>
    <col min="15102" max="15102" width="9.140625" style="570"/>
    <col min="15103" max="15103" width="27.7109375" style="570" customWidth="1"/>
    <col min="15104" max="15104" width="9.140625" style="570"/>
    <col min="15105" max="15106" width="12" style="570" customWidth="1"/>
    <col min="15107" max="15107" width="11.140625" style="570" customWidth="1"/>
    <col min="15108" max="15108" width="12" style="570" customWidth="1"/>
    <col min="15109" max="15109" width="11" style="570" customWidth="1"/>
    <col min="15110" max="15110" width="11.7109375" style="570" customWidth="1"/>
    <col min="15111" max="15111" width="8" style="570" customWidth="1"/>
    <col min="15112" max="15112" width="11.42578125" style="570" customWidth="1"/>
    <col min="15113" max="15114" width="12.7109375" style="570" customWidth="1"/>
    <col min="15115" max="15115" width="7.7109375" style="570" customWidth="1"/>
    <col min="15116" max="15116" width="12.28515625" style="570" customWidth="1"/>
    <col min="15117" max="15117" width="11.28515625" style="570" customWidth="1"/>
    <col min="15118" max="15118" width="8.28515625" style="570" customWidth="1"/>
    <col min="15119" max="15119" width="13.28515625" style="570" customWidth="1"/>
    <col min="15120" max="15120" width="11" style="570" customWidth="1"/>
    <col min="15121" max="15356" width="9.140625" style="570"/>
    <col min="15357" max="15357" width="3.7109375" style="570" customWidth="1"/>
    <col min="15358" max="15358" width="9.140625" style="570"/>
    <col min="15359" max="15359" width="27.7109375" style="570" customWidth="1"/>
    <col min="15360" max="15360" width="9.140625" style="570"/>
    <col min="15361" max="15362" width="12" style="570" customWidth="1"/>
    <col min="15363" max="15363" width="11.140625" style="570" customWidth="1"/>
    <col min="15364" max="15364" width="12" style="570" customWidth="1"/>
    <col min="15365" max="15365" width="11" style="570" customWidth="1"/>
    <col min="15366" max="15366" width="11.7109375" style="570" customWidth="1"/>
    <col min="15367" max="15367" width="8" style="570" customWidth="1"/>
    <col min="15368" max="15368" width="11.42578125" style="570" customWidth="1"/>
    <col min="15369" max="15370" width="12.7109375" style="570" customWidth="1"/>
    <col min="15371" max="15371" width="7.7109375" style="570" customWidth="1"/>
    <col min="15372" max="15372" width="12.28515625" style="570" customWidth="1"/>
    <col min="15373" max="15373" width="11.28515625" style="570" customWidth="1"/>
    <col min="15374" max="15374" width="8.28515625" style="570" customWidth="1"/>
    <col min="15375" max="15375" width="13.28515625" style="570" customWidth="1"/>
    <col min="15376" max="15376" width="11" style="570" customWidth="1"/>
    <col min="15377" max="15612" width="9.140625" style="570"/>
    <col min="15613" max="15613" width="3.7109375" style="570" customWidth="1"/>
    <col min="15614" max="15614" width="9.140625" style="570"/>
    <col min="15615" max="15615" width="27.7109375" style="570" customWidth="1"/>
    <col min="15616" max="15616" width="9.140625" style="570"/>
    <col min="15617" max="15618" width="12" style="570" customWidth="1"/>
    <col min="15619" max="15619" width="11.140625" style="570" customWidth="1"/>
    <col min="15620" max="15620" width="12" style="570" customWidth="1"/>
    <col min="15621" max="15621" width="11" style="570" customWidth="1"/>
    <col min="15622" max="15622" width="11.7109375" style="570" customWidth="1"/>
    <col min="15623" max="15623" width="8" style="570" customWidth="1"/>
    <col min="15624" max="15624" width="11.42578125" style="570" customWidth="1"/>
    <col min="15625" max="15626" width="12.7109375" style="570" customWidth="1"/>
    <col min="15627" max="15627" width="7.7109375" style="570" customWidth="1"/>
    <col min="15628" max="15628" width="12.28515625" style="570" customWidth="1"/>
    <col min="15629" max="15629" width="11.28515625" style="570" customWidth="1"/>
    <col min="15630" max="15630" width="8.28515625" style="570" customWidth="1"/>
    <col min="15631" max="15631" width="13.28515625" style="570" customWidth="1"/>
    <col min="15632" max="15632" width="11" style="570" customWidth="1"/>
    <col min="15633" max="15868" width="9.140625" style="570"/>
    <col min="15869" max="15869" width="3.7109375" style="570" customWidth="1"/>
    <col min="15870" max="15870" width="9.140625" style="570"/>
    <col min="15871" max="15871" width="27.7109375" style="570" customWidth="1"/>
    <col min="15872" max="15872" width="9.140625" style="570"/>
    <col min="15873" max="15874" width="12" style="570" customWidth="1"/>
    <col min="15875" max="15875" width="11.140625" style="570" customWidth="1"/>
    <col min="15876" max="15876" width="12" style="570" customWidth="1"/>
    <col min="15877" max="15877" width="11" style="570" customWidth="1"/>
    <col min="15878" max="15878" width="11.7109375" style="570" customWidth="1"/>
    <col min="15879" max="15879" width="8" style="570" customWidth="1"/>
    <col min="15880" max="15880" width="11.42578125" style="570" customWidth="1"/>
    <col min="15881" max="15882" width="12.7109375" style="570" customWidth="1"/>
    <col min="15883" max="15883" width="7.7109375" style="570" customWidth="1"/>
    <col min="15884" max="15884" width="12.28515625" style="570" customWidth="1"/>
    <col min="15885" max="15885" width="11.28515625" style="570" customWidth="1"/>
    <col min="15886" max="15886" width="8.28515625" style="570" customWidth="1"/>
    <col min="15887" max="15887" width="13.28515625" style="570" customWidth="1"/>
    <col min="15888" max="15888" width="11" style="570" customWidth="1"/>
    <col min="15889" max="16124" width="9.140625" style="570"/>
    <col min="16125" max="16125" width="3.7109375" style="570" customWidth="1"/>
    <col min="16126" max="16126" width="9.140625" style="570"/>
    <col min="16127" max="16127" width="27.7109375" style="570" customWidth="1"/>
    <col min="16128" max="16128" width="9.140625" style="570"/>
    <col min="16129" max="16130" width="12" style="570" customWidth="1"/>
    <col min="16131" max="16131" width="11.140625" style="570" customWidth="1"/>
    <col min="16132" max="16132" width="12" style="570" customWidth="1"/>
    <col min="16133" max="16133" width="11" style="570" customWidth="1"/>
    <col min="16134" max="16134" width="11.7109375" style="570" customWidth="1"/>
    <col min="16135" max="16135" width="8" style="570" customWidth="1"/>
    <col min="16136" max="16136" width="11.42578125" style="570" customWidth="1"/>
    <col min="16137" max="16138" width="12.7109375" style="570" customWidth="1"/>
    <col min="16139" max="16139" width="7.7109375" style="570" customWidth="1"/>
    <col min="16140" max="16140" width="12.28515625" style="570" customWidth="1"/>
    <col min="16141" max="16141" width="11.28515625" style="570" customWidth="1"/>
    <col min="16142" max="16142" width="8.28515625" style="570" customWidth="1"/>
    <col min="16143" max="16143" width="13.28515625" style="570" customWidth="1"/>
    <col min="16144" max="16144" width="11" style="570" customWidth="1"/>
    <col min="16145" max="16384" width="9.140625" style="570"/>
  </cols>
  <sheetData>
    <row r="1" spans="1:20" s="569" customFormat="1" ht="15.75" x14ac:dyDescent="0.25">
      <c r="A1" s="1347" t="s">
        <v>728</v>
      </c>
      <c r="B1" s="1347"/>
      <c r="C1" s="1347"/>
      <c r="D1" s="1347"/>
      <c r="E1" s="1347"/>
      <c r="F1" s="1347"/>
      <c r="G1" s="1347"/>
      <c r="H1" s="1347"/>
      <c r="I1" s="1347"/>
      <c r="J1" s="1347"/>
      <c r="K1" s="1347"/>
      <c r="L1" s="1347"/>
      <c r="M1" s="1347"/>
      <c r="N1" s="1347"/>
      <c r="O1" s="1347"/>
      <c r="P1" s="1347"/>
      <c r="Q1" s="1347"/>
      <c r="R1" s="1347"/>
      <c r="S1" s="1347"/>
      <c r="T1" s="1347"/>
    </row>
    <row r="3" spans="1:20" x14ac:dyDescent="0.2">
      <c r="A3" s="1348" t="s">
        <v>0</v>
      </c>
      <c r="B3" s="1349" t="s">
        <v>1</v>
      </c>
      <c r="C3" s="1352" t="s">
        <v>2</v>
      </c>
      <c r="D3" s="1355" t="s">
        <v>729</v>
      </c>
      <c r="E3" s="1358" t="s">
        <v>730</v>
      </c>
      <c r="F3" s="1359"/>
      <c r="G3" s="1359"/>
      <c r="H3" s="1359"/>
      <c r="I3" s="1359"/>
      <c r="J3" s="1360"/>
      <c r="K3" s="1361" t="s">
        <v>731</v>
      </c>
      <c r="L3" s="1361"/>
      <c r="M3" s="1361"/>
      <c r="N3" s="1361"/>
      <c r="O3" s="1361"/>
      <c r="P3" s="1361"/>
      <c r="Q3" s="1361"/>
      <c r="R3" s="1361"/>
      <c r="S3" s="1361"/>
      <c r="T3" s="1361"/>
    </row>
    <row r="4" spans="1:20" ht="21.75" customHeight="1" x14ac:dyDescent="0.2">
      <c r="A4" s="1348"/>
      <c r="B4" s="1350"/>
      <c r="C4" s="1353"/>
      <c r="D4" s="1356"/>
      <c r="E4" s="1362" t="s">
        <v>732</v>
      </c>
      <c r="F4" s="1363"/>
      <c r="G4" s="1366" t="s">
        <v>733</v>
      </c>
      <c r="H4" s="1366"/>
      <c r="I4" s="1366"/>
      <c r="J4" s="1366"/>
      <c r="K4" s="1367" t="s">
        <v>6</v>
      </c>
      <c r="L4" s="1370" t="s">
        <v>734</v>
      </c>
      <c r="M4" s="1370"/>
      <c r="N4" s="1370"/>
      <c r="O4" s="1371" t="s">
        <v>732</v>
      </c>
      <c r="P4" s="1372"/>
      <c r="Q4" s="1372"/>
      <c r="R4" s="1372"/>
      <c r="S4" s="1372"/>
      <c r="T4" s="1373"/>
    </row>
    <row r="5" spans="1:20" ht="48" customHeight="1" x14ac:dyDescent="0.2">
      <c r="A5" s="1348"/>
      <c r="B5" s="1350"/>
      <c r="C5" s="1353"/>
      <c r="D5" s="1356"/>
      <c r="E5" s="1364"/>
      <c r="F5" s="1365"/>
      <c r="G5" s="1366"/>
      <c r="H5" s="1366"/>
      <c r="I5" s="1366"/>
      <c r="J5" s="1366"/>
      <c r="K5" s="1368"/>
      <c r="L5" s="571" t="s">
        <v>735</v>
      </c>
      <c r="M5" s="1370" t="s">
        <v>733</v>
      </c>
      <c r="N5" s="1370"/>
      <c r="O5" s="1374"/>
      <c r="P5" s="1375"/>
      <c r="Q5" s="1375"/>
      <c r="R5" s="1375"/>
      <c r="S5" s="1375"/>
      <c r="T5" s="1376"/>
    </row>
    <row r="6" spans="1:20" ht="27" customHeight="1" x14ac:dyDescent="0.2">
      <c r="A6" s="1348"/>
      <c r="B6" s="1350"/>
      <c r="C6" s="1353"/>
      <c r="D6" s="1356"/>
      <c r="E6" s="1343" t="s">
        <v>736</v>
      </c>
      <c r="F6" s="1341" t="s">
        <v>737</v>
      </c>
      <c r="G6" s="1343" t="s">
        <v>738</v>
      </c>
      <c r="H6" s="1340" t="s">
        <v>736</v>
      </c>
      <c r="I6" s="1340" t="s">
        <v>739</v>
      </c>
      <c r="J6" s="1340"/>
      <c r="K6" s="1368"/>
      <c r="L6" s="1341" t="s">
        <v>736</v>
      </c>
      <c r="M6" s="1341" t="s">
        <v>740</v>
      </c>
      <c r="N6" s="1343" t="s">
        <v>738</v>
      </c>
      <c r="O6" s="1345" t="s">
        <v>594</v>
      </c>
      <c r="P6" s="1341" t="s">
        <v>737</v>
      </c>
      <c r="Q6" s="1341" t="s">
        <v>740</v>
      </c>
      <c r="R6" s="1341" t="s">
        <v>741</v>
      </c>
      <c r="S6" s="1340" t="s">
        <v>742</v>
      </c>
      <c r="T6" s="1343" t="s">
        <v>738</v>
      </c>
    </row>
    <row r="7" spans="1:20" ht="33.75" customHeight="1" x14ac:dyDescent="0.2">
      <c r="A7" s="1348"/>
      <c r="B7" s="1351"/>
      <c r="C7" s="1354"/>
      <c r="D7" s="1357"/>
      <c r="E7" s="1344"/>
      <c r="F7" s="1342"/>
      <c r="G7" s="1344"/>
      <c r="H7" s="1340"/>
      <c r="I7" s="572" t="s">
        <v>743</v>
      </c>
      <c r="J7" s="572" t="s">
        <v>744</v>
      </c>
      <c r="K7" s="1369"/>
      <c r="L7" s="1342"/>
      <c r="M7" s="1342"/>
      <c r="N7" s="1344"/>
      <c r="O7" s="1346"/>
      <c r="P7" s="1342"/>
      <c r="Q7" s="1342"/>
      <c r="R7" s="1342"/>
      <c r="S7" s="1340"/>
      <c r="T7" s="1344"/>
    </row>
    <row r="8" spans="1:20" ht="15" customHeight="1" x14ac:dyDescent="0.2">
      <c r="A8" s="573">
        <v>1</v>
      </c>
      <c r="B8" s="365" t="s">
        <v>258</v>
      </c>
      <c r="C8" s="578" t="s">
        <v>521</v>
      </c>
      <c r="D8" s="574">
        <f>E8+G8+H8+I8+J8+K8+F8</f>
        <v>2608</v>
      </c>
      <c r="E8" s="571"/>
      <c r="F8" s="571"/>
      <c r="G8" s="571">
        <f>50-50</f>
        <v>0</v>
      </c>
      <c r="H8" s="571">
        <v>350</v>
      </c>
      <c r="I8" s="571">
        <v>30</v>
      </c>
      <c r="J8" s="571">
        <f>20-2</f>
        <v>18</v>
      </c>
      <c r="K8" s="574">
        <f>L8+M8+O8+N8</f>
        <v>2210</v>
      </c>
      <c r="L8" s="575">
        <v>500</v>
      </c>
      <c r="M8" s="571">
        <v>1300</v>
      </c>
      <c r="N8" s="571">
        <f>0+50</f>
        <v>50</v>
      </c>
      <c r="O8" s="574">
        <f>P8+Q8+R8+T8+S8</f>
        <v>360</v>
      </c>
      <c r="P8" s="571"/>
      <c r="Q8" s="571"/>
      <c r="R8" s="571"/>
      <c r="S8" s="571"/>
      <c r="T8" s="571">
        <f>360+50-50</f>
        <v>360</v>
      </c>
    </row>
    <row r="9" spans="1:20" x14ac:dyDescent="0.2">
      <c r="A9" s="573">
        <v>2</v>
      </c>
      <c r="B9" s="366" t="s">
        <v>264</v>
      </c>
      <c r="C9" s="576" t="s">
        <v>265</v>
      </c>
      <c r="D9" s="574">
        <f t="shared" ref="D9:D23" si="0">E9+G9+H9+I9+J9+K9+F9</f>
        <v>4120</v>
      </c>
      <c r="E9" s="571"/>
      <c r="F9" s="571"/>
      <c r="G9" s="571">
        <v>80</v>
      </c>
      <c r="H9" s="571">
        <v>20</v>
      </c>
      <c r="I9" s="571"/>
      <c r="J9" s="571"/>
      <c r="K9" s="574">
        <f t="shared" ref="K9:K22" si="1">L9+M9+O9</f>
        <v>4020</v>
      </c>
      <c r="L9" s="577"/>
      <c r="M9" s="577"/>
      <c r="N9" s="577"/>
      <c r="O9" s="574">
        <f>P9+Q9+R9+T9+S9</f>
        <v>4020</v>
      </c>
      <c r="P9" s="571"/>
      <c r="Q9" s="571">
        <f>864-324</f>
        <v>540</v>
      </c>
      <c r="R9" s="571">
        <f>384-144</f>
        <v>240</v>
      </c>
      <c r="S9" s="571">
        <v>360</v>
      </c>
      <c r="T9" s="571">
        <v>2880</v>
      </c>
    </row>
    <row r="10" spans="1:20" x14ac:dyDescent="0.2">
      <c r="A10" s="573">
        <v>3</v>
      </c>
      <c r="B10" s="365" t="s">
        <v>262</v>
      </c>
      <c r="C10" s="576" t="s">
        <v>263</v>
      </c>
      <c r="D10" s="574">
        <f t="shared" si="0"/>
        <v>90</v>
      </c>
      <c r="E10" s="571"/>
      <c r="F10" s="571"/>
      <c r="G10" s="571">
        <v>20</v>
      </c>
      <c r="H10" s="571"/>
      <c r="I10" s="571">
        <v>70</v>
      </c>
      <c r="J10" s="571"/>
      <c r="K10" s="574">
        <f t="shared" si="1"/>
        <v>0</v>
      </c>
      <c r="L10" s="577"/>
      <c r="M10" s="577"/>
      <c r="N10" s="577"/>
      <c r="O10" s="574">
        <f t="shared" ref="O10:O19" si="2">P10+Q10+R10+T10+S10</f>
        <v>0</v>
      </c>
      <c r="P10" s="571"/>
      <c r="Q10" s="571"/>
      <c r="R10" s="571"/>
      <c r="S10" s="571"/>
      <c r="T10" s="571"/>
    </row>
    <row r="11" spans="1:20" x14ac:dyDescent="0.2">
      <c r="A11" s="573">
        <v>4</v>
      </c>
      <c r="B11" s="367" t="s">
        <v>276</v>
      </c>
      <c r="C11" s="576" t="s">
        <v>277</v>
      </c>
      <c r="D11" s="574">
        <f t="shared" si="0"/>
        <v>18</v>
      </c>
      <c r="E11" s="571"/>
      <c r="F11" s="571"/>
      <c r="G11" s="571"/>
      <c r="H11" s="571"/>
      <c r="I11" s="571">
        <v>18</v>
      </c>
      <c r="J11" s="571"/>
      <c r="K11" s="574">
        <f t="shared" si="1"/>
        <v>0</v>
      </c>
      <c r="L11" s="577"/>
      <c r="M11" s="577"/>
      <c r="N11" s="577"/>
      <c r="O11" s="574">
        <f t="shared" si="2"/>
        <v>0</v>
      </c>
      <c r="P11" s="571"/>
      <c r="Q11" s="571"/>
      <c r="R11" s="571"/>
      <c r="S11" s="571"/>
      <c r="T11" s="571"/>
    </row>
    <row r="12" spans="1:20" x14ac:dyDescent="0.2">
      <c r="A12" s="573">
        <v>5</v>
      </c>
      <c r="B12" s="368" t="s">
        <v>278</v>
      </c>
      <c r="C12" s="576" t="s">
        <v>674</v>
      </c>
      <c r="D12" s="574">
        <f t="shared" si="0"/>
        <v>20</v>
      </c>
      <c r="E12" s="571"/>
      <c r="F12" s="571"/>
      <c r="G12" s="571"/>
      <c r="H12" s="571"/>
      <c r="I12" s="571">
        <v>20</v>
      </c>
      <c r="J12" s="571"/>
      <c r="K12" s="574">
        <f t="shared" si="1"/>
        <v>0</v>
      </c>
      <c r="L12" s="577"/>
      <c r="M12" s="577"/>
      <c r="N12" s="577"/>
      <c r="O12" s="574">
        <f t="shared" si="2"/>
        <v>0</v>
      </c>
      <c r="P12" s="571"/>
      <c r="Q12" s="571"/>
      <c r="R12" s="571"/>
      <c r="S12" s="571"/>
      <c r="T12" s="571"/>
    </row>
    <row r="13" spans="1:20" x14ac:dyDescent="0.2">
      <c r="A13" s="573">
        <v>6</v>
      </c>
      <c r="B13" s="366" t="s">
        <v>280</v>
      </c>
      <c r="C13" s="578" t="s">
        <v>281</v>
      </c>
      <c r="D13" s="574">
        <f t="shared" si="0"/>
        <v>50</v>
      </c>
      <c r="E13" s="571"/>
      <c r="F13" s="571"/>
      <c r="G13" s="571"/>
      <c r="H13" s="571"/>
      <c r="I13" s="571">
        <v>50</v>
      </c>
      <c r="J13" s="571"/>
      <c r="K13" s="574">
        <f t="shared" si="1"/>
        <v>0</v>
      </c>
      <c r="L13" s="577"/>
      <c r="M13" s="577"/>
      <c r="N13" s="577"/>
      <c r="O13" s="574">
        <f t="shared" si="2"/>
        <v>0</v>
      </c>
      <c r="P13" s="571"/>
      <c r="Q13" s="571"/>
      <c r="R13" s="571"/>
      <c r="S13" s="571"/>
      <c r="T13" s="571"/>
    </row>
    <row r="14" spans="1:20" x14ac:dyDescent="0.2">
      <c r="A14" s="573">
        <v>7</v>
      </c>
      <c r="B14" s="366" t="s">
        <v>173</v>
      </c>
      <c r="C14" s="576" t="s">
        <v>745</v>
      </c>
      <c r="D14" s="574">
        <f t="shared" si="0"/>
        <v>156</v>
      </c>
      <c r="E14" s="571"/>
      <c r="F14" s="571"/>
      <c r="G14" s="571"/>
      <c r="H14" s="571"/>
      <c r="I14" s="571">
        <v>156</v>
      </c>
      <c r="J14" s="571"/>
      <c r="K14" s="574">
        <f t="shared" si="1"/>
        <v>0</v>
      </c>
      <c r="L14" s="577"/>
      <c r="M14" s="577"/>
      <c r="N14" s="577"/>
      <c r="O14" s="574">
        <f t="shared" si="2"/>
        <v>0</v>
      </c>
      <c r="P14" s="571"/>
      <c r="Q14" s="571"/>
      <c r="R14" s="571"/>
      <c r="S14" s="571"/>
      <c r="T14" s="571"/>
    </row>
    <row r="15" spans="1:20" x14ac:dyDescent="0.2">
      <c r="A15" s="573">
        <v>8</v>
      </c>
      <c r="B15" s="365" t="s">
        <v>26</v>
      </c>
      <c r="C15" s="576" t="s">
        <v>663</v>
      </c>
      <c r="D15" s="574">
        <f t="shared" si="0"/>
        <v>15</v>
      </c>
      <c r="E15" s="571"/>
      <c r="F15" s="571"/>
      <c r="G15" s="571"/>
      <c r="H15" s="571"/>
      <c r="I15" s="571">
        <v>15</v>
      </c>
      <c r="J15" s="571"/>
      <c r="K15" s="574">
        <f t="shared" si="1"/>
        <v>0</v>
      </c>
      <c r="L15" s="577"/>
      <c r="M15" s="577"/>
      <c r="N15" s="577"/>
      <c r="O15" s="574">
        <f t="shared" si="2"/>
        <v>0</v>
      </c>
      <c r="P15" s="571"/>
      <c r="Q15" s="571"/>
      <c r="R15" s="571"/>
      <c r="S15" s="571"/>
      <c r="T15" s="571"/>
    </row>
    <row r="16" spans="1:20" ht="13.5" customHeight="1" x14ac:dyDescent="0.2">
      <c r="A16" s="573">
        <v>9</v>
      </c>
      <c r="B16" s="366" t="s">
        <v>66</v>
      </c>
      <c r="C16" s="578" t="s">
        <v>482</v>
      </c>
      <c r="D16" s="574">
        <f t="shared" si="0"/>
        <v>89</v>
      </c>
      <c r="E16" s="571"/>
      <c r="F16" s="571"/>
      <c r="G16" s="571"/>
      <c r="H16" s="571">
        <v>75</v>
      </c>
      <c r="I16" s="571">
        <v>12</v>
      </c>
      <c r="J16" s="571">
        <f>0+2</f>
        <v>2</v>
      </c>
      <c r="K16" s="574">
        <f t="shared" si="1"/>
        <v>0</v>
      </c>
      <c r="L16" s="577"/>
      <c r="M16" s="577"/>
      <c r="N16" s="577"/>
      <c r="O16" s="574">
        <f t="shared" si="2"/>
        <v>0</v>
      </c>
      <c r="P16" s="571"/>
      <c r="Q16" s="571"/>
      <c r="R16" s="571"/>
      <c r="S16" s="571"/>
      <c r="T16" s="571"/>
    </row>
    <row r="17" spans="1:20" ht="13.5" customHeight="1" x14ac:dyDescent="0.2">
      <c r="A17" s="573">
        <v>10</v>
      </c>
      <c r="B17" s="366" t="s">
        <v>68</v>
      </c>
      <c r="C17" s="578" t="s">
        <v>746</v>
      </c>
      <c r="D17" s="574">
        <f t="shared" si="0"/>
        <v>20</v>
      </c>
      <c r="E17" s="571"/>
      <c r="F17" s="571"/>
      <c r="G17" s="571"/>
      <c r="H17" s="571"/>
      <c r="I17" s="571">
        <v>20</v>
      </c>
      <c r="J17" s="571"/>
      <c r="K17" s="574">
        <f t="shared" si="1"/>
        <v>0</v>
      </c>
      <c r="L17" s="577"/>
      <c r="M17" s="577"/>
      <c r="N17" s="577"/>
      <c r="O17" s="574">
        <f t="shared" si="2"/>
        <v>0</v>
      </c>
      <c r="P17" s="571"/>
      <c r="Q17" s="571"/>
      <c r="R17" s="571"/>
      <c r="S17" s="571"/>
      <c r="T17" s="571"/>
    </row>
    <row r="18" spans="1:20" ht="13.5" customHeight="1" x14ac:dyDescent="0.2">
      <c r="A18" s="573">
        <v>11</v>
      </c>
      <c r="B18" s="366" t="s">
        <v>117</v>
      </c>
      <c r="C18" s="578" t="s">
        <v>118</v>
      </c>
      <c r="D18" s="574">
        <f t="shared" si="0"/>
        <v>8</v>
      </c>
      <c r="E18" s="571"/>
      <c r="F18" s="571"/>
      <c r="G18" s="571"/>
      <c r="H18" s="571"/>
      <c r="I18" s="571">
        <v>8</v>
      </c>
      <c r="J18" s="571"/>
      <c r="K18" s="574">
        <f t="shared" si="1"/>
        <v>0</v>
      </c>
      <c r="L18" s="577"/>
      <c r="M18" s="577"/>
      <c r="N18" s="577"/>
      <c r="O18" s="574">
        <f t="shared" si="2"/>
        <v>0</v>
      </c>
      <c r="P18" s="571"/>
      <c r="Q18" s="571"/>
      <c r="R18" s="571"/>
      <c r="S18" s="571"/>
      <c r="T18" s="571"/>
    </row>
    <row r="19" spans="1:20" x14ac:dyDescent="0.2">
      <c r="A19" s="573">
        <v>12</v>
      </c>
      <c r="B19" s="365" t="s">
        <v>221</v>
      </c>
      <c r="C19" s="576" t="s">
        <v>747</v>
      </c>
      <c r="D19" s="574">
        <f t="shared" si="0"/>
        <v>4416</v>
      </c>
      <c r="E19" s="571"/>
      <c r="F19" s="571"/>
      <c r="G19" s="571"/>
      <c r="H19" s="571"/>
      <c r="I19" s="571"/>
      <c r="J19" s="571"/>
      <c r="K19" s="574">
        <f>L19+M19+O19</f>
        <v>4416</v>
      </c>
      <c r="L19" s="577"/>
      <c r="M19" s="577"/>
      <c r="N19" s="577"/>
      <c r="O19" s="574">
        <f t="shared" si="2"/>
        <v>4416</v>
      </c>
      <c r="P19" s="571"/>
      <c r="Q19" s="571">
        <v>3299</v>
      </c>
      <c r="R19" s="571">
        <v>1117</v>
      </c>
      <c r="S19" s="571"/>
      <c r="T19" s="571"/>
    </row>
    <row r="20" spans="1:20" ht="12" customHeight="1" x14ac:dyDescent="0.2">
      <c r="A20" s="573">
        <v>13</v>
      </c>
      <c r="B20" s="365" t="s">
        <v>231</v>
      </c>
      <c r="C20" s="578" t="s">
        <v>232</v>
      </c>
      <c r="D20" s="574">
        <f t="shared" si="0"/>
        <v>115643</v>
      </c>
      <c r="E20" s="571">
        <f>596+18</f>
        <v>614</v>
      </c>
      <c r="F20" s="571"/>
      <c r="G20" s="571"/>
      <c r="H20" s="571"/>
      <c r="I20" s="571"/>
      <c r="J20" s="571"/>
      <c r="K20" s="574">
        <f t="shared" si="1"/>
        <v>115029</v>
      </c>
      <c r="L20" s="577"/>
      <c r="M20" s="577"/>
      <c r="N20" s="577"/>
      <c r="O20" s="574">
        <f>P20+Q20+R20+T20+S20</f>
        <v>115029</v>
      </c>
      <c r="P20" s="571"/>
      <c r="Q20" s="571">
        <v>90060</v>
      </c>
      <c r="R20" s="571">
        <v>21517</v>
      </c>
      <c r="S20" s="571">
        <v>3310</v>
      </c>
      <c r="T20" s="571">
        <f>140+2</f>
        <v>142</v>
      </c>
    </row>
    <row r="21" spans="1:20" x14ac:dyDescent="0.2">
      <c r="A21" s="573">
        <v>14</v>
      </c>
      <c r="B21" s="366" t="s">
        <v>217</v>
      </c>
      <c r="C21" s="576" t="s">
        <v>748</v>
      </c>
      <c r="D21" s="574">
        <f t="shared" si="0"/>
        <v>31033</v>
      </c>
      <c r="E21" s="571"/>
      <c r="F21" s="571"/>
      <c r="G21" s="571"/>
      <c r="H21" s="571"/>
      <c r="I21" s="571"/>
      <c r="J21" s="571"/>
      <c r="K21" s="574">
        <f t="shared" si="1"/>
        <v>31033</v>
      </c>
      <c r="L21" s="577"/>
      <c r="M21" s="577"/>
      <c r="N21" s="577"/>
      <c r="O21" s="574">
        <f>P21+Q21+R21+T21+S21</f>
        <v>31033</v>
      </c>
      <c r="P21" s="571"/>
      <c r="Q21" s="571">
        <v>19345</v>
      </c>
      <c r="R21" s="571">
        <v>11688</v>
      </c>
      <c r="S21" s="571"/>
      <c r="T21" s="571"/>
    </row>
    <row r="22" spans="1:20" x14ac:dyDescent="0.2">
      <c r="A22" s="573">
        <v>15</v>
      </c>
      <c r="B22" s="366" t="s">
        <v>250</v>
      </c>
      <c r="C22" s="576" t="s">
        <v>749</v>
      </c>
      <c r="D22" s="574">
        <f t="shared" si="0"/>
        <v>5326</v>
      </c>
      <c r="E22" s="571"/>
      <c r="F22" s="571"/>
      <c r="G22" s="571"/>
      <c r="H22" s="571"/>
      <c r="I22" s="571"/>
      <c r="J22" s="571"/>
      <c r="K22" s="574">
        <f t="shared" si="1"/>
        <v>5326</v>
      </c>
      <c r="L22" s="577"/>
      <c r="M22" s="577"/>
      <c r="N22" s="577"/>
      <c r="O22" s="574">
        <f>P22+Q22+R22+T22+S22</f>
        <v>5326</v>
      </c>
      <c r="P22" s="571"/>
      <c r="Q22" s="571">
        <v>2874</v>
      </c>
      <c r="R22" s="571">
        <v>2452</v>
      </c>
      <c r="S22" s="571"/>
      <c r="T22" s="571"/>
    </row>
    <row r="23" spans="1:20" x14ac:dyDescent="0.2">
      <c r="A23" s="573">
        <v>16</v>
      </c>
      <c r="B23" s="365" t="s">
        <v>254</v>
      </c>
      <c r="C23" s="576" t="s">
        <v>255</v>
      </c>
      <c r="D23" s="574">
        <f t="shared" si="0"/>
        <v>37618</v>
      </c>
      <c r="E23" s="571">
        <v>50</v>
      </c>
      <c r="F23" s="571">
        <v>100</v>
      </c>
      <c r="G23" s="571"/>
      <c r="H23" s="571"/>
      <c r="I23" s="571"/>
      <c r="J23" s="571"/>
      <c r="K23" s="574">
        <f>L23+M23+O23</f>
        <v>37468</v>
      </c>
      <c r="L23" s="577"/>
      <c r="M23" s="577"/>
      <c r="N23" s="577"/>
      <c r="O23" s="574">
        <f>P23+Q23+R23+T23+S23</f>
        <v>37468</v>
      </c>
      <c r="P23" s="571">
        <v>7103</v>
      </c>
      <c r="Q23" s="571">
        <v>24975</v>
      </c>
      <c r="R23" s="571">
        <v>5390</v>
      </c>
      <c r="S23" s="571"/>
      <c r="T23" s="571"/>
    </row>
    <row r="24" spans="1:20" x14ac:dyDescent="0.2">
      <c r="A24" s="579"/>
      <c r="B24" s="579"/>
      <c r="C24" s="580" t="s">
        <v>470</v>
      </c>
      <c r="D24" s="574">
        <f t="shared" ref="D24:T24" si="3">SUM(D8:D23)</f>
        <v>201230</v>
      </c>
      <c r="E24" s="574">
        <f t="shared" si="3"/>
        <v>664</v>
      </c>
      <c r="F24" s="574">
        <f t="shared" si="3"/>
        <v>100</v>
      </c>
      <c r="G24" s="574">
        <f t="shared" si="3"/>
        <v>100</v>
      </c>
      <c r="H24" s="574">
        <f t="shared" si="3"/>
        <v>445</v>
      </c>
      <c r="I24" s="574">
        <f t="shared" si="3"/>
        <v>399</v>
      </c>
      <c r="J24" s="574">
        <f t="shared" si="3"/>
        <v>20</v>
      </c>
      <c r="K24" s="574">
        <f t="shared" si="3"/>
        <v>199502</v>
      </c>
      <c r="L24" s="574">
        <f t="shared" si="3"/>
        <v>500</v>
      </c>
      <c r="M24" s="574">
        <f t="shared" si="3"/>
        <v>1300</v>
      </c>
      <c r="N24" s="574"/>
      <c r="O24" s="574">
        <f t="shared" si="3"/>
        <v>197652</v>
      </c>
      <c r="P24" s="574">
        <f t="shared" si="3"/>
        <v>7103</v>
      </c>
      <c r="Q24" s="574">
        <f t="shared" si="3"/>
        <v>141093</v>
      </c>
      <c r="R24" s="574">
        <f t="shared" si="3"/>
        <v>42404</v>
      </c>
      <c r="S24" s="574">
        <f t="shared" si="3"/>
        <v>3670</v>
      </c>
      <c r="T24" s="574">
        <f t="shared" si="3"/>
        <v>3382</v>
      </c>
    </row>
    <row r="25" spans="1:20" ht="13.5" customHeight="1" x14ac:dyDescent="0.2">
      <c r="A25" s="573"/>
      <c r="B25" s="573"/>
      <c r="C25" s="578" t="s">
        <v>750</v>
      </c>
      <c r="D25" s="574">
        <f>E25+G25+H25+I25+J25+K25</f>
        <v>14658</v>
      </c>
      <c r="E25" s="577"/>
      <c r="F25" s="577"/>
      <c r="G25" s="577"/>
      <c r="H25" s="577"/>
      <c r="I25" s="577"/>
      <c r="J25" s="577"/>
      <c r="K25" s="574">
        <f>L25+M25+O25</f>
        <v>14658</v>
      </c>
      <c r="L25" s="577"/>
      <c r="M25" s="577"/>
      <c r="N25" s="577"/>
      <c r="O25" s="574">
        <f>P25+Q25+R25+T25+S25</f>
        <v>14658</v>
      </c>
      <c r="P25" s="571"/>
      <c r="Q25" s="571">
        <v>14658</v>
      </c>
      <c r="R25" s="571"/>
      <c r="S25" s="571"/>
      <c r="T25" s="571"/>
    </row>
    <row r="26" spans="1:20" ht="25.5" customHeight="1" x14ac:dyDescent="0.2">
      <c r="A26" s="573"/>
      <c r="B26" s="573"/>
      <c r="C26" s="581" t="s">
        <v>751</v>
      </c>
      <c r="D26" s="574">
        <f t="shared" ref="D26:T26" si="4">D24+D25</f>
        <v>215888</v>
      </c>
      <c r="E26" s="574">
        <f t="shared" si="4"/>
        <v>664</v>
      </c>
      <c r="F26" s="574">
        <f t="shared" si="4"/>
        <v>100</v>
      </c>
      <c r="G26" s="574">
        <f t="shared" si="4"/>
        <v>100</v>
      </c>
      <c r="H26" s="574">
        <f t="shared" si="4"/>
        <v>445</v>
      </c>
      <c r="I26" s="574">
        <f t="shared" si="4"/>
        <v>399</v>
      </c>
      <c r="J26" s="574">
        <f t="shared" si="4"/>
        <v>20</v>
      </c>
      <c r="K26" s="574">
        <f t="shared" si="4"/>
        <v>214160</v>
      </c>
      <c r="L26" s="574">
        <f t="shared" si="4"/>
        <v>500</v>
      </c>
      <c r="M26" s="574">
        <f t="shared" si="4"/>
        <v>1300</v>
      </c>
      <c r="N26" s="574"/>
      <c r="O26" s="574">
        <f t="shared" si="4"/>
        <v>212310</v>
      </c>
      <c r="P26" s="574">
        <f t="shared" si="4"/>
        <v>7103</v>
      </c>
      <c r="Q26" s="574">
        <f t="shared" si="4"/>
        <v>155751</v>
      </c>
      <c r="R26" s="574">
        <f t="shared" si="4"/>
        <v>42404</v>
      </c>
      <c r="S26" s="574"/>
      <c r="T26" s="574">
        <f t="shared" si="4"/>
        <v>3382</v>
      </c>
    </row>
  </sheetData>
  <mergeCells count="27"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E27"/>
  <sheetViews>
    <sheetView topLeftCell="C1" workbookViewId="0">
      <pane ySplit="5" topLeftCell="A6" activePane="bottomLeft" state="frozen"/>
      <selection pane="bottomLeft" activeCell="G15" sqref="G15"/>
    </sheetView>
  </sheetViews>
  <sheetFormatPr defaultRowHeight="12.75" x14ac:dyDescent="0.25"/>
  <cols>
    <col min="1" max="1" width="3.5703125" style="433" customWidth="1"/>
    <col min="2" max="2" width="11.5703125" style="433" customWidth="1"/>
    <col min="3" max="3" width="37.85546875" style="442" customWidth="1"/>
    <col min="4" max="5" width="25" style="433" customWidth="1"/>
    <col min="6" max="16384" width="9.140625" style="433"/>
  </cols>
  <sheetData>
    <row r="1" spans="1:5" ht="39.75" customHeight="1" x14ac:dyDescent="0.25">
      <c r="A1" s="1377" t="s">
        <v>772</v>
      </c>
      <c r="B1" s="1377"/>
      <c r="C1" s="1377"/>
      <c r="D1" s="1377"/>
      <c r="E1" s="1377"/>
    </row>
    <row r="2" spans="1:5" ht="12.75" customHeight="1" x14ac:dyDescent="0.25">
      <c r="A2" s="1378" t="s">
        <v>0</v>
      </c>
      <c r="B2" s="1378" t="s">
        <v>302</v>
      </c>
      <c r="C2" s="1379" t="s">
        <v>292</v>
      </c>
      <c r="D2" s="1281" t="s">
        <v>771</v>
      </c>
      <c r="E2" s="1281" t="s">
        <v>781</v>
      </c>
    </row>
    <row r="3" spans="1:5" ht="96.75" customHeight="1" x14ac:dyDescent="0.25">
      <c r="A3" s="1378"/>
      <c r="B3" s="1378"/>
      <c r="C3" s="1378"/>
      <c r="D3" s="1281"/>
      <c r="E3" s="1281"/>
    </row>
    <row r="4" spans="1:5" ht="19.5" customHeight="1" x14ac:dyDescent="0.25">
      <c r="A4" s="434"/>
      <c r="B4" s="434"/>
      <c r="C4" s="435" t="s">
        <v>6</v>
      </c>
      <c r="D4" s="436">
        <f>D6+D5</f>
        <v>159001</v>
      </c>
      <c r="E4" s="436">
        <f>E6+E5</f>
        <v>159001</v>
      </c>
    </row>
    <row r="5" spans="1:5" ht="19.5" customHeight="1" x14ac:dyDescent="0.25">
      <c r="A5" s="434"/>
      <c r="B5" s="434"/>
      <c r="C5" s="435" t="s">
        <v>14</v>
      </c>
      <c r="D5" s="437">
        <v>0</v>
      </c>
      <c r="E5" s="437">
        <v>0</v>
      </c>
    </row>
    <row r="6" spans="1:5" ht="19.5" customHeight="1" x14ac:dyDescent="0.25">
      <c r="A6" s="434"/>
      <c r="B6" s="434"/>
      <c r="C6" s="435" t="s">
        <v>15</v>
      </c>
      <c r="D6" s="436">
        <f>SUM(D7:D25)</f>
        <v>159001</v>
      </c>
      <c r="E6" s="436">
        <f>SUM(E7:E25)</f>
        <v>159001</v>
      </c>
    </row>
    <row r="7" spans="1:5" ht="19.5" customHeight="1" x14ac:dyDescent="0.25">
      <c r="A7" s="434">
        <v>1</v>
      </c>
      <c r="B7" s="434" t="s">
        <v>26</v>
      </c>
      <c r="C7" s="438" t="s">
        <v>27</v>
      </c>
      <c r="D7" s="439">
        <v>10894</v>
      </c>
      <c r="E7" s="439">
        <v>10894</v>
      </c>
    </row>
    <row r="8" spans="1:5" ht="19.5" customHeight="1" x14ac:dyDescent="0.25">
      <c r="A8" s="434">
        <v>2</v>
      </c>
      <c r="B8" s="434" t="s">
        <v>28</v>
      </c>
      <c r="C8" s="438" t="s">
        <v>29</v>
      </c>
      <c r="D8" s="439">
        <v>4566</v>
      </c>
      <c r="E8" s="439">
        <v>4566</v>
      </c>
    </row>
    <row r="9" spans="1:5" ht="19.5" customHeight="1" x14ac:dyDescent="0.25">
      <c r="A9" s="434">
        <v>3</v>
      </c>
      <c r="B9" s="434" t="s">
        <v>50</v>
      </c>
      <c r="C9" s="438" t="s">
        <v>51</v>
      </c>
      <c r="D9" s="439">
        <v>9650</v>
      </c>
      <c r="E9" s="439">
        <v>9650</v>
      </c>
    </row>
    <row r="10" spans="1:5" ht="19.5" customHeight="1" x14ac:dyDescent="0.25">
      <c r="A10" s="434">
        <v>4</v>
      </c>
      <c r="B10" s="434" t="s">
        <v>58</v>
      </c>
      <c r="C10" s="438" t="s">
        <v>59</v>
      </c>
      <c r="D10" s="439">
        <v>6201</v>
      </c>
      <c r="E10" s="439">
        <v>6201</v>
      </c>
    </row>
    <row r="11" spans="1:5" ht="19.5" customHeight="1" x14ac:dyDescent="0.25">
      <c r="A11" s="804">
        <v>5</v>
      </c>
      <c r="B11" s="804" t="s">
        <v>66</v>
      </c>
      <c r="C11" s="438" t="s">
        <v>67</v>
      </c>
      <c r="D11" s="439">
        <v>6984</v>
      </c>
      <c r="E11" s="439"/>
    </row>
    <row r="12" spans="1:5" ht="19.5" customHeight="1" x14ac:dyDescent="0.25">
      <c r="A12" s="804">
        <v>6</v>
      </c>
      <c r="B12" s="434" t="s">
        <v>68</v>
      </c>
      <c r="C12" s="438" t="s">
        <v>69</v>
      </c>
      <c r="D12" s="439">
        <v>6872</v>
      </c>
      <c r="E12" s="439">
        <v>16493</v>
      </c>
    </row>
    <row r="13" spans="1:5" ht="19.5" customHeight="1" x14ac:dyDescent="0.25">
      <c r="A13" s="804">
        <v>7</v>
      </c>
      <c r="B13" s="434" t="s">
        <v>77</v>
      </c>
      <c r="C13" s="438" t="s">
        <v>773</v>
      </c>
      <c r="D13" s="439">
        <v>9254</v>
      </c>
      <c r="E13" s="439">
        <v>9254</v>
      </c>
    </row>
    <row r="14" spans="1:5" ht="19.5" customHeight="1" x14ac:dyDescent="0.25">
      <c r="A14" s="804">
        <v>8</v>
      </c>
      <c r="B14" s="434" t="s">
        <v>79</v>
      </c>
      <c r="C14" s="438" t="s">
        <v>80</v>
      </c>
      <c r="D14" s="439">
        <v>4831</v>
      </c>
      <c r="E14" s="439">
        <v>4831</v>
      </c>
    </row>
    <row r="15" spans="1:5" ht="19.5" customHeight="1" x14ac:dyDescent="0.25">
      <c r="A15" s="804">
        <v>9</v>
      </c>
      <c r="B15" s="434" t="s">
        <v>97</v>
      </c>
      <c r="C15" s="438" t="s">
        <v>98</v>
      </c>
      <c r="D15" s="439">
        <v>678</v>
      </c>
      <c r="E15" s="439">
        <v>678</v>
      </c>
    </row>
    <row r="16" spans="1:5" ht="19.5" customHeight="1" x14ac:dyDescent="0.25">
      <c r="A16" s="804">
        <v>10</v>
      </c>
      <c r="B16" s="434" t="s">
        <v>99</v>
      </c>
      <c r="C16" s="438" t="s">
        <v>100</v>
      </c>
      <c r="D16" s="439">
        <v>15926</v>
      </c>
      <c r="E16" s="439">
        <v>15926</v>
      </c>
    </row>
    <row r="17" spans="1:5" ht="19.5" customHeight="1" x14ac:dyDescent="0.25">
      <c r="A17" s="804">
        <v>11</v>
      </c>
      <c r="B17" s="434" t="s">
        <v>169</v>
      </c>
      <c r="C17" s="438" t="s">
        <v>170</v>
      </c>
      <c r="D17" s="439">
        <v>19506</v>
      </c>
      <c r="E17" s="439">
        <v>19506</v>
      </c>
    </row>
    <row r="18" spans="1:5" ht="19.5" customHeight="1" x14ac:dyDescent="0.25">
      <c r="A18" s="804">
        <v>12</v>
      </c>
      <c r="B18" s="434" t="s">
        <v>178</v>
      </c>
      <c r="C18" s="438" t="s">
        <v>324</v>
      </c>
      <c r="D18" s="439">
        <v>261</v>
      </c>
      <c r="E18" s="439">
        <v>261</v>
      </c>
    </row>
    <row r="19" spans="1:5" ht="19.5" customHeight="1" x14ac:dyDescent="0.25">
      <c r="A19" s="804">
        <v>13</v>
      </c>
      <c r="B19" s="434" t="s">
        <v>258</v>
      </c>
      <c r="C19" s="438" t="s">
        <v>681</v>
      </c>
      <c r="D19" s="439">
        <v>5998</v>
      </c>
      <c r="E19" s="439">
        <v>5998</v>
      </c>
    </row>
    <row r="20" spans="1:5" ht="19.5" customHeight="1" x14ac:dyDescent="0.25">
      <c r="A20" s="804">
        <v>14</v>
      </c>
      <c r="B20" s="434" t="s">
        <v>260</v>
      </c>
      <c r="C20" s="438" t="s">
        <v>261</v>
      </c>
      <c r="D20" s="439">
        <v>7698</v>
      </c>
      <c r="E20" s="439">
        <v>7698</v>
      </c>
    </row>
    <row r="21" spans="1:5" ht="19.5" customHeight="1" x14ac:dyDescent="0.25">
      <c r="A21" s="804">
        <v>15</v>
      </c>
      <c r="B21" s="434" t="s">
        <v>266</v>
      </c>
      <c r="C21" s="438" t="s">
        <v>708</v>
      </c>
      <c r="D21" s="439">
        <v>9487</v>
      </c>
      <c r="E21" s="439">
        <v>9487</v>
      </c>
    </row>
    <row r="22" spans="1:5" ht="19.5" customHeight="1" x14ac:dyDescent="0.25">
      <c r="A22" s="804">
        <v>16</v>
      </c>
      <c r="B22" s="434" t="s">
        <v>270</v>
      </c>
      <c r="C22" s="438" t="s">
        <v>271</v>
      </c>
      <c r="D22" s="439">
        <v>12931</v>
      </c>
      <c r="E22" s="439">
        <v>12931</v>
      </c>
    </row>
    <row r="23" spans="1:5" ht="19.5" customHeight="1" x14ac:dyDescent="0.25">
      <c r="A23" s="804">
        <v>17</v>
      </c>
      <c r="B23" s="434" t="s">
        <v>276</v>
      </c>
      <c r="C23" s="438" t="s">
        <v>277</v>
      </c>
      <c r="D23" s="439">
        <v>5692</v>
      </c>
      <c r="E23" s="439">
        <v>5692</v>
      </c>
    </row>
    <row r="24" spans="1:5" ht="19.5" customHeight="1" x14ac:dyDescent="0.25">
      <c r="A24" s="804">
        <v>18</v>
      </c>
      <c r="B24" s="434" t="s">
        <v>278</v>
      </c>
      <c r="C24" s="438" t="s">
        <v>279</v>
      </c>
      <c r="D24" s="439">
        <v>6608</v>
      </c>
      <c r="E24" s="439">
        <v>6608</v>
      </c>
    </row>
    <row r="25" spans="1:5" ht="19.5" customHeight="1" x14ac:dyDescent="0.25">
      <c r="A25" s="804">
        <v>19</v>
      </c>
      <c r="B25" s="434" t="s">
        <v>280</v>
      </c>
      <c r="C25" s="438" t="s">
        <v>281</v>
      </c>
      <c r="D25" s="439">
        <v>14964</v>
      </c>
      <c r="E25" s="439">
        <v>12327</v>
      </c>
    </row>
    <row r="26" spans="1:5" x14ac:dyDescent="0.25">
      <c r="C26" s="440"/>
      <c r="D26" s="441"/>
      <c r="E26" s="442"/>
    </row>
    <row r="27" spans="1:5" x14ac:dyDescent="0.25">
      <c r="C27" s="440"/>
      <c r="D27" s="441"/>
      <c r="E27" s="442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sqref="A1:D1"/>
    </sheetView>
  </sheetViews>
  <sheetFormatPr defaultRowHeight="12.75" x14ac:dyDescent="0.25"/>
  <cols>
    <col min="1" max="1" width="21.140625" style="202" customWidth="1"/>
    <col min="2" max="4" width="22.28515625" style="188" customWidth="1"/>
    <col min="5" max="16384" width="9.140625" style="188"/>
  </cols>
  <sheetData>
    <row r="1" spans="1:4" ht="59.25" customHeight="1" x14ac:dyDescent="0.25">
      <c r="A1" s="965" t="s">
        <v>655</v>
      </c>
      <c r="B1" s="965"/>
      <c r="C1" s="965"/>
      <c r="D1" s="965"/>
    </row>
    <row r="2" spans="1:4" ht="18.75" customHeight="1" x14ac:dyDescent="0.25">
      <c r="A2" s="189"/>
      <c r="B2" s="189"/>
      <c r="C2" s="189"/>
    </row>
    <row r="3" spans="1:4" s="192" customFormat="1" ht="45" customHeight="1" x14ac:dyDescent="0.25">
      <c r="A3" s="190" t="s">
        <v>396</v>
      </c>
      <c r="B3" s="190" t="s">
        <v>398</v>
      </c>
      <c r="C3" s="191" t="s">
        <v>285</v>
      </c>
      <c r="D3" s="191" t="s">
        <v>15</v>
      </c>
    </row>
    <row r="4" spans="1:4" s="192" customFormat="1" ht="18.75" customHeight="1" x14ac:dyDescent="0.25">
      <c r="A4" s="193" t="s">
        <v>424</v>
      </c>
      <c r="B4" s="193"/>
      <c r="C4" s="194"/>
      <c r="D4" s="195"/>
    </row>
    <row r="5" spans="1:4" s="192" customFormat="1" ht="14.25" customHeight="1" x14ac:dyDescent="0.25">
      <c r="A5" s="193">
        <v>22</v>
      </c>
      <c r="B5" s="194"/>
      <c r="C5" s="196">
        <v>50</v>
      </c>
      <c r="D5" s="197">
        <f>B5+C5</f>
        <v>50</v>
      </c>
    </row>
    <row r="6" spans="1:4" s="192" customFormat="1" ht="14.25" customHeight="1" x14ac:dyDescent="0.25">
      <c r="A6" s="193">
        <v>23</v>
      </c>
      <c r="B6" s="194">
        <v>40</v>
      </c>
      <c r="C6" s="196">
        <v>40</v>
      </c>
      <c r="D6" s="197">
        <f>B6+C6</f>
        <v>80</v>
      </c>
    </row>
    <row r="7" spans="1:4" s="192" customFormat="1" ht="14.25" customHeight="1" x14ac:dyDescent="0.25">
      <c r="A7" s="193">
        <v>24</v>
      </c>
      <c r="B7" s="194">
        <v>50</v>
      </c>
      <c r="C7" s="196"/>
      <c r="D7" s="197">
        <f>B7+C7</f>
        <v>50</v>
      </c>
    </row>
    <row r="8" spans="1:4" s="192" customFormat="1" ht="18.75" customHeight="1" x14ac:dyDescent="0.25">
      <c r="A8" s="198" t="s">
        <v>6</v>
      </c>
      <c r="B8" s="199">
        <f>SUM(B5:B7)</f>
        <v>90</v>
      </c>
      <c r="C8" s="199">
        <f t="shared" ref="C8:D8" si="0">SUM(C5:C7)</f>
        <v>90</v>
      </c>
      <c r="D8" s="199">
        <f t="shared" si="0"/>
        <v>180</v>
      </c>
    </row>
    <row r="9" spans="1:4" s="201" customFormat="1" ht="15.75" x14ac:dyDescent="0.25">
      <c r="A9" s="200"/>
    </row>
    <row r="10" spans="1:4" s="201" customFormat="1" ht="15.75" x14ac:dyDescent="0.25">
      <c r="A10" s="200"/>
    </row>
    <row r="11" spans="1:4" s="201" customFormat="1" ht="15.75" x14ac:dyDescent="0.25">
      <c r="A11" s="200"/>
    </row>
    <row r="12" spans="1:4" s="201" customFormat="1" ht="15.75" x14ac:dyDescent="0.25">
      <c r="A12" s="200"/>
    </row>
    <row r="13" spans="1:4" s="201" customFormat="1" ht="15.75" x14ac:dyDescent="0.25">
      <c r="A13" s="200"/>
    </row>
    <row r="14" spans="1:4" s="201" customFormat="1" ht="15.75" x14ac:dyDescent="0.25">
      <c r="A14" s="200"/>
    </row>
    <row r="15" spans="1:4" s="201" customFormat="1" ht="15.75" x14ac:dyDescent="0.25">
      <c r="A15" s="200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52"/>
  <sheetViews>
    <sheetView zoomScale="90" zoomScaleNormal="90" workbookViewId="0">
      <pane xSplit="1" ySplit="10" topLeftCell="B139" activePane="bottomRight" state="frozen"/>
      <selection activeCell="P41" sqref="P41"/>
      <selection pane="topRight" activeCell="P41" sqref="P41"/>
      <selection pane="bottomLeft" activeCell="P41" sqref="P41"/>
      <selection pane="bottomRight" activeCell="H160" sqref="H160"/>
    </sheetView>
  </sheetViews>
  <sheetFormatPr defaultRowHeight="12" x14ac:dyDescent="0.2"/>
  <cols>
    <col min="1" max="1" width="7.28515625" style="824" customWidth="1"/>
    <col min="2" max="2" width="9.140625" style="824"/>
    <col min="3" max="3" width="23.5703125" style="824" customWidth="1"/>
    <col min="4" max="4" width="11.42578125" style="824" customWidth="1"/>
    <col min="5" max="5" width="12.7109375" style="824" customWidth="1"/>
    <col min="6" max="6" width="14.5703125" style="824" customWidth="1"/>
    <col min="7" max="10" width="9.140625" style="824"/>
    <col min="11" max="11" width="14" style="824" customWidth="1"/>
    <col min="12" max="12" width="15.7109375" style="824" customWidth="1"/>
    <col min="13" max="13" width="13.140625" style="824" customWidth="1"/>
    <col min="14" max="14" width="15.85546875" style="824" customWidth="1"/>
    <col min="15" max="15" width="13.5703125" style="824" customWidth="1"/>
    <col min="16" max="16" width="13.42578125" style="824" customWidth="1"/>
    <col min="17" max="17" width="14" style="824" customWidth="1"/>
    <col min="18" max="18" width="15.7109375" style="824" customWidth="1"/>
    <col min="19" max="19" width="17.5703125" style="824" customWidth="1"/>
    <col min="20" max="20" width="9.140625" style="824"/>
    <col min="21" max="22" width="9.140625" style="824" customWidth="1"/>
    <col min="23" max="23" width="13.140625" style="824" customWidth="1"/>
    <col min="24" max="33" width="9.140625" style="824" customWidth="1"/>
    <col min="34" max="34" width="16" style="824" customWidth="1"/>
    <col min="35" max="16384" width="9.140625" style="824"/>
  </cols>
  <sheetData>
    <row r="1" spans="1:36" ht="15.75" customHeight="1" x14ac:dyDescent="0.2">
      <c r="A1" s="966" t="s">
        <v>333</v>
      </c>
      <c r="B1" s="966"/>
      <c r="C1" s="966"/>
      <c r="D1" s="966"/>
      <c r="E1" s="966"/>
      <c r="F1" s="966"/>
      <c r="G1" s="966"/>
      <c r="H1" s="966"/>
      <c r="I1" s="966"/>
      <c r="J1" s="966"/>
      <c r="K1" s="966"/>
      <c r="L1" s="966"/>
      <c r="M1" s="966"/>
      <c r="N1" s="966"/>
      <c r="O1" s="966"/>
      <c r="P1" s="966"/>
      <c r="Q1" s="966"/>
      <c r="R1" s="966"/>
      <c r="S1" s="966"/>
    </row>
    <row r="2" spans="1:36" ht="12" customHeight="1" x14ac:dyDescent="0.2">
      <c r="A2" s="967" t="s">
        <v>0</v>
      </c>
      <c r="B2" s="968" t="s">
        <v>1</v>
      </c>
      <c r="C2" s="967" t="s">
        <v>2</v>
      </c>
      <c r="D2" s="967" t="s">
        <v>289</v>
      </c>
      <c r="E2" s="967"/>
      <c r="F2" s="967"/>
      <c r="G2" s="967"/>
      <c r="H2" s="967"/>
      <c r="I2" s="967"/>
      <c r="J2" s="967"/>
      <c r="K2" s="967"/>
      <c r="L2" s="967"/>
      <c r="M2" s="967"/>
      <c r="N2" s="967"/>
      <c r="O2" s="967"/>
      <c r="P2" s="967"/>
      <c r="Q2" s="967"/>
      <c r="R2" s="967"/>
      <c r="S2" s="971" t="s">
        <v>774</v>
      </c>
    </row>
    <row r="3" spans="1:36" ht="12" customHeight="1" x14ac:dyDescent="0.2">
      <c r="A3" s="967"/>
      <c r="B3" s="969"/>
      <c r="C3" s="967"/>
      <c r="D3" s="974" t="s">
        <v>3</v>
      </c>
      <c r="E3" s="967" t="s">
        <v>290</v>
      </c>
      <c r="F3" s="967"/>
      <c r="G3" s="967"/>
      <c r="H3" s="967"/>
      <c r="I3" s="967"/>
      <c r="J3" s="967"/>
      <c r="K3" s="967"/>
      <c r="L3" s="967"/>
      <c r="M3" s="967"/>
      <c r="N3" s="967"/>
      <c r="O3" s="967"/>
      <c r="P3" s="967"/>
      <c r="Q3" s="967"/>
      <c r="R3" s="967"/>
      <c r="S3" s="972"/>
    </row>
    <row r="4" spans="1:36" ht="36.75" customHeight="1" x14ac:dyDescent="0.2">
      <c r="A4" s="967"/>
      <c r="B4" s="969"/>
      <c r="C4" s="967"/>
      <c r="D4" s="974"/>
      <c r="E4" s="976" t="s">
        <v>286</v>
      </c>
      <c r="F4" s="977"/>
      <c r="G4" s="977"/>
      <c r="H4" s="975" t="s">
        <v>287</v>
      </c>
      <c r="I4" s="975"/>
      <c r="J4" s="975"/>
      <c r="K4" s="967" t="s">
        <v>5</v>
      </c>
      <c r="L4" s="967"/>
      <c r="M4" s="967"/>
      <c r="N4" s="967"/>
      <c r="O4" s="967"/>
      <c r="P4" s="967"/>
      <c r="Q4" s="967"/>
      <c r="R4" s="967"/>
      <c r="S4" s="972"/>
    </row>
    <row r="5" spans="1:36" ht="12" customHeight="1" x14ac:dyDescent="0.2">
      <c r="A5" s="967"/>
      <c r="B5" s="969"/>
      <c r="C5" s="967"/>
      <c r="D5" s="974"/>
      <c r="E5" s="967" t="s">
        <v>6</v>
      </c>
      <c r="F5" s="978" t="s">
        <v>4</v>
      </c>
      <c r="G5" s="979"/>
      <c r="H5" s="967" t="s">
        <v>6</v>
      </c>
      <c r="I5" s="978" t="s">
        <v>7</v>
      </c>
      <c r="J5" s="979"/>
      <c r="K5" s="975" t="s">
        <v>6</v>
      </c>
      <c r="L5" s="980" t="s">
        <v>4</v>
      </c>
      <c r="M5" s="980"/>
      <c r="N5" s="980"/>
      <c r="O5" s="980"/>
      <c r="P5" s="980"/>
      <c r="Q5" s="980"/>
      <c r="R5" s="980"/>
      <c r="S5" s="972"/>
    </row>
    <row r="6" spans="1:36" ht="120" x14ac:dyDescent="0.2">
      <c r="A6" s="967"/>
      <c r="B6" s="970"/>
      <c r="C6" s="967"/>
      <c r="D6" s="975"/>
      <c r="E6" s="967"/>
      <c r="F6" s="825" t="s">
        <v>8</v>
      </c>
      <c r="G6" s="826" t="s">
        <v>9</v>
      </c>
      <c r="H6" s="967"/>
      <c r="I6" s="826" t="s">
        <v>10</v>
      </c>
      <c r="J6" s="826" t="s">
        <v>11</v>
      </c>
      <c r="K6" s="967"/>
      <c r="L6" s="827" t="s">
        <v>386</v>
      </c>
      <c r="M6" s="827" t="s">
        <v>288</v>
      </c>
      <c r="N6" s="827" t="s">
        <v>775</v>
      </c>
      <c r="O6" s="827" t="s">
        <v>12</v>
      </c>
      <c r="P6" s="827" t="s">
        <v>776</v>
      </c>
      <c r="Q6" s="827" t="s">
        <v>13</v>
      </c>
      <c r="R6" s="828" t="s">
        <v>784</v>
      </c>
      <c r="S6" s="973"/>
    </row>
    <row r="7" spans="1:36" s="832" customFormat="1" ht="11.25" x14ac:dyDescent="0.2">
      <c r="A7" s="829">
        <v>1</v>
      </c>
      <c r="B7" s="829">
        <v>2</v>
      </c>
      <c r="C7" s="829">
        <v>3</v>
      </c>
      <c r="D7" s="830">
        <v>4</v>
      </c>
      <c r="E7" s="830">
        <v>5</v>
      </c>
      <c r="F7" s="830">
        <v>6</v>
      </c>
      <c r="G7" s="830">
        <v>7</v>
      </c>
      <c r="H7" s="830">
        <v>8</v>
      </c>
      <c r="I7" s="830">
        <v>9</v>
      </c>
      <c r="J7" s="830">
        <v>10</v>
      </c>
      <c r="K7" s="829">
        <v>11</v>
      </c>
      <c r="L7" s="831">
        <v>12</v>
      </c>
      <c r="M7" s="831">
        <v>13</v>
      </c>
      <c r="N7" s="831">
        <v>14</v>
      </c>
      <c r="O7" s="831">
        <v>15</v>
      </c>
      <c r="P7" s="831">
        <v>16</v>
      </c>
      <c r="Q7" s="831">
        <v>17</v>
      </c>
      <c r="R7" s="831">
        <v>18</v>
      </c>
      <c r="S7" s="831">
        <v>19</v>
      </c>
    </row>
    <row r="8" spans="1:36" s="832" customFormat="1" x14ac:dyDescent="0.2">
      <c r="A8" s="981" t="s">
        <v>6</v>
      </c>
      <c r="B8" s="981"/>
      <c r="C8" s="981"/>
      <c r="D8" s="833">
        <f>E8+H8+K8</f>
        <v>10692203</v>
      </c>
      <c r="E8" s="833">
        <f t="shared" ref="E8:E9" si="0">F8+G8</f>
        <v>1040097</v>
      </c>
      <c r="F8" s="833">
        <f>F9+F10</f>
        <v>197342</v>
      </c>
      <c r="G8" s="833">
        <f>G9+G10</f>
        <v>842755</v>
      </c>
      <c r="H8" s="833">
        <f>I8+J8</f>
        <v>1297871</v>
      </c>
      <c r="I8" s="833">
        <f>I9+I10</f>
        <v>1287725</v>
      </c>
      <c r="J8" s="833">
        <f>J9+J10</f>
        <v>10146</v>
      </c>
      <c r="K8" s="834">
        <f t="shared" ref="K8" si="1">SUM(L8:R8)</f>
        <v>8354235</v>
      </c>
      <c r="L8" s="835">
        <f t="shared" ref="L8:S8" si="2">L9+L10</f>
        <v>325794</v>
      </c>
      <c r="M8" s="835">
        <f t="shared" si="2"/>
        <v>37710</v>
      </c>
      <c r="N8" s="835">
        <f t="shared" si="2"/>
        <v>1327912</v>
      </c>
      <c r="O8" s="835">
        <f t="shared" si="2"/>
        <v>3671797</v>
      </c>
      <c r="P8" s="835">
        <f t="shared" si="2"/>
        <v>562716</v>
      </c>
      <c r="Q8" s="835">
        <f t="shared" si="2"/>
        <v>2379731</v>
      </c>
      <c r="R8" s="835">
        <f t="shared" si="2"/>
        <v>48575</v>
      </c>
      <c r="S8" s="835">
        <f t="shared" si="2"/>
        <v>1025004</v>
      </c>
      <c r="T8" s="836"/>
      <c r="AI8" s="837"/>
    </row>
    <row r="9" spans="1:36" s="832" customFormat="1" ht="12" customHeight="1" x14ac:dyDescent="0.2">
      <c r="A9" s="982" t="s">
        <v>14</v>
      </c>
      <c r="B9" s="983"/>
      <c r="C9" s="984"/>
      <c r="D9" s="830">
        <f>E9+K9</f>
        <v>203495</v>
      </c>
      <c r="E9" s="830">
        <f t="shared" si="0"/>
        <v>0</v>
      </c>
      <c r="F9" s="830">
        <v>0</v>
      </c>
      <c r="G9" s="830">
        <v>0</v>
      </c>
      <c r="H9" s="830">
        <v>0</v>
      </c>
      <c r="I9" s="830">
        <v>0</v>
      </c>
      <c r="J9" s="830">
        <v>0</v>
      </c>
      <c r="K9" s="829">
        <f>SUM(L9:R9)</f>
        <v>203495</v>
      </c>
      <c r="L9" s="838">
        <v>0</v>
      </c>
      <c r="M9" s="838">
        <v>0</v>
      </c>
      <c r="N9" s="838">
        <v>0</v>
      </c>
      <c r="O9" s="838">
        <f>248199-48575+3871</f>
        <v>203495</v>
      </c>
      <c r="P9" s="838">
        <v>0</v>
      </c>
      <c r="Q9" s="838">
        <v>0</v>
      </c>
      <c r="R9" s="838">
        <v>0</v>
      </c>
      <c r="S9" s="838">
        <v>0</v>
      </c>
      <c r="T9" s="836"/>
      <c r="AI9" s="837"/>
    </row>
    <row r="10" spans="1:36" s="832" customFormat="1" ht="12" customHeight="1" x14ac:dyDescent="0.2">
      <c r="A10" s="985" t="s">
        <v>15</v>
      </c>
      <c r="B10" s="986"/>
      <c r="C10" s="987"/>
      <c r="D10" s="833">
        <f>E10+H10+K10</f>
        <v>10488708</v>
      </c>
      <c r="E10" s="833">
        <f>F10+G10</f>
        <v>1040097</v>
      </c>
      <c r="F10" s="833">
        <f>SUM(F11:F148)</f>
        <v>197342</v>
      </c>
      <c r="G10" s="833">
        <f>SUM(G11:G148)</f>
        <v>842755</v>
      </c>
      <c r="H10" s="833">
        <f>I10+J10</f>
        <v>1297871</v>
      </c>
      <c r="I10" s="833">
        <f>SUM(I11:I148)</f>
        <v>1287725</v>
      </c>
      <c r="J10" s="833">
        <f>SUM(J11:J148)</f>
        <v>10146</v>
      </c>
      <c r="K10" s="834">
        <f t="shared" ref="K10:K74" si="3">SUM(L10:R10)</f>
        <v>8150740</v>
      </c>
      <c r="L10" s="835">
        <f t="shared" ref="L10:S10" si="4">SUM(L11:L148)</f>
        <v>325794</v>
      </c>
      <c r="M10" s="835">
        <f t="shared" si="4"/>
        <v>37710</v>
      </c>
      <c r="N10" s="835">
        <f t="shared" si="4"/>
        <v>1327912</v>
      </c>
      <c r="O10" s="835">
        <f t="shared" si="4"/>
        <v>3468302</v>
      </c>
      <c r="P10" s="835">
        <f t="shared" si="4"/>
        <v>562716</v>
      </c>
      <c r="Q10" s="835">
        <f t="shared" si="4"/>
        <v>2379731</v>
      </c>
      <c r="R10" s="835">
        <f t="shared" si="4"/>
        <v>48575</v>
      </c>
      <c r="S10" s="835">
        <f t="shared" si="4"/>
        <v>1025004</v>
      </c>
      <c r="T10" s="836"/>
      <c r="AI10" s="839"/>
    </row>
    <row r="11" spans="1:36" x14ac:dyDescent="0.2">
      <c r="A11" s="443">
        <v>1</v>
      </c>
      <c r="B11" s="415" t="s">
        <v>16</v>
      </c>
      <c r="C11" s="444" t="s">
        <v>17</v>
      </c>
      <c r="D11" s="840">
        <f t="shared" ref="D11:D82" si="5">E11+H11+K11</f>
        <v>43416</v>
      </c>
      <c r="E11" s="840">
        <f>F11+G11</f>
        <v>5057</v>
      </c>
      <c r="F11" s="840">
        <v>927</v>
      </c>
      <c r="G11" s="840">
        <v>4130</v>
      </c>
      <c r="H11" s="830">
        <f t="shared" ref="H11:H76" si="6">I11+J11</f>
        <v>6108</v>
      </c>
      <c r="I11" s="840">
        <v>6048</v>
      </c>
      <c r="J11" s="840">
        <v>60</v>
      </c>
      <c r="K11" s="840">
        <f t="shared" si="3"/>
        <v>32251</v>
      </c>
      <c r="L11" s="841">
        <v>1530</v>
      </c>
      <c r="M11" s="841">
        <v>519</v>
      </c>
      <c r="N11" s="841">
        <v>10620</v>
      </c>
      <c r="O11" s="841">
        <v>13010</v>
      </c>
      <c r="P11" s="841">
        <v>0</v>
      </c>
      <c r="Q11" s="841">
        <v>6570</v>
      </c>
      <c r="R11" s="841">
        <v>2</v>
      </c>
      <c r="S11" s="841">
        <v>8935</v>
      </c>
      <c r="T11" s="836"/>
      <c r="V11" s="842"/>
      <c r="X11" s="832"/>
      <c r="Y11" s="832"/>
      <c r="AI11" s="837"/>
      <c r="AJ11" s="832"/>
    </row>
    <row r="12" spans="1:36" x14ac:dyDescent="0.2">
      <c r="A12" s="443">
        <v>2</v>
      </c>
      <c r="B12" s="445" t="s">
        <v>18</v>
      </c>
      <c r="C12" s="444" t="s">
        <v>19</v>
      </c>
      <c r="D12" s="840">
        <f t="shared" si="5"/>
        <v>45095</v>
      </c>
      <c r="E12" s="840">
        <f t="shared" ref="E12:E83" si="7">F12+G12</f>
        <v>4629</v>
      </c>
      <c r="F12" s="840">
        <v>964</v>
      </c>
      <c r="G12" s="840">
        <v>3665</v>
      </c>
      <c r="H12" s="830">
        <f t="shared" si="6"/>
        <v>6429</v>
      </c>
      <c r="I12" s="840">
        <v>6293</v>
      </c>
      <c r="J12" s="840">
        <v>136</v>
      </c>
      <c r="K12" s="840">
        <f t="shared" si="3"/>
        <v>34037</v>
      </c>
      <c r="L12" s="841">
        <v>1592</v>
      </c>
      <c r="M12" s="841">
        <v>153</v>
      </c>
      <c r="N12" s="841">
        <v>7720</v>
      </c>
      <c r="O12" s="841">
        <v>17345</v>
      </c>
      <c r="P12" s="841">
        <v>2852</v>
      </c>
      <c r="Q12" s="841">
        <v>3933</v>
      </c>
      <c r="R12" s="841">
        <v>442</v>
      </c>
      <c r="S12" s="841">
        <v>5618</v>
      </c>
      <c r="T12" s="836"/>
      <c r="V12" s="842"/>
      <c r="X12" s="832"/>
      <c r="Y12" s="832"/>
      <c r="AI12" s="837"/>
      <c r="AJ12" s="832"/>
    </row>
    <row r="13" spans="1:36" x14ac:dyDescent="0.2">
      <c r="A13" s="443">
        <v>3</v>
      </c>
      <c r="B13" s="413" t="s">
        <v>20</v>
      </c>
      <c r="C13" s="446" t="s">
        <v>21</v>
      </c>
      <c r="D13" s="840">
        <f t="shared" si="5"/>
        <v>144917</v>
      </c>
      <c r="E13" s="840">
        <f t="shared" si="7"/>
        <v>14903</v>
      </c>
      <c r="F13" s="840">
        <v>2798</v>
      </c>
      <c r="G13" s="840">
        <v>12105</v>
      </c>
      <c r="H13" s="830">
        <f t="shared" si="6"/>
        <v>18787</v>
      </c>
      <c r="I13" s="840">
        <v>18256</v>
      </c>
      <c r="J13" s="840">
        <v>531</v>
      </c>
      <c r="K13" s="840">
        <f t="shared" si="3"/>
        <v>111227</v>
      </c>
      <c r="L13" s="841">
        <v>4619</v>
      </c>
      <c r="M13" s="841">
        <v>366</v>
      </c>
      <c r="N13" s="841">
        <v>21542</v>
      </c>
      <c r="O13" s="841">
        <v>30185</v>
      </c>
      <c r="P13" s="841">
        <v>24850</v>
      </c>
      <c r="Q13" s="841">
        <v>28814</v>
      </c>
      <c r="R13" s="841">
        <v>851</v>
      </c>
      <c r="S13" s="841">
        <v>14933</v>
      </c>
      <c r="T13" s="836"/>
      <c r="V13" s="842"/>
      <c r="X13" s="832"/>
      <c r="Y13" s="832"/>
      <c r="AI13" s="837"/>
      <c r="AJ13" s="832"/>
    </row>
    <row r="14" spans="1:36" x14ac:dyDescent="0.2">
      <c r="A14" s="443">
        <v>4</v>
      </c>
      <c r="B14" s="415" t="s">
        <v>22</v>
      </c>
      <c r="C14" s="444" t="s">
        <v>23</v>
      </c>
      <c r="D14" s="840">
        <f t="shared" si="5"/>
        <v>46555</v>
      </c>
      <c r="E14" s="840">
        <f t="shared" si="7"/>
        <v>4528</v>
      </c>
      <c r="F14" s="840">
        <v>1074</v>
      </c>
      <c r="G14" s="840">
        <v>3454</v>
      </c>
      <c r="H14" s="830">
        <f t="shared" si="6"/>
        <v>7073</v>
      </c>
      <c r="I14" s="840">
        <v>7008</v>
      </c>
      <c r="J14" s="840">
        <v>65</v>
      </c>
      <c r="K14" s="840">
        <f t="shared" si="3"/>
        <v>34954</v>
      </c>
      <c r="L14" s="841">
        <v>1773</v>
      </c>
      <c r="M14" s="841">
        <v>231</v>
      </c>
      <c r="N14" s="841">
        <v>4048</v>
      </c>
      <c r="O14" s="841">
        <v>17791</v>
      </c>
      <c r="P14" s="841">
        <v>2387</v>
      </c>
      <c r="Q14" s="841">
        <v>8721</v>
      </c>
      <c r="R14" s="841">
        <v>3</v>
      </c>
      <c r="S14" s="841">
        <v>5064</v>
      </c>
      <c r="T14" s="836"/>
      <c r="V14" s="842"/>
      <c r="X14" s="832"/>
      <c r="Y14" s="832"/>
      <c r="AI14" s="837"/>
      <c r="AJ14" s="832"/>
    </row>
    <row r="15" spans="1:36" ht="24" x14ac:dyDescent="0.2">
      <c r="A15" s="443">
        <v>5</v>
      </c>
      <c r="B15" s="415" t="s">
        <v>24</v>
      </c>
      <c r="C15" s="444" t="s">
        <v>25</v>
      </c>
      <c r="D15" s="840">
        <f t="shared" si="5"/>
        <v>51622</v>
      </c>
      <c r="E15" s="840">
        <f t="shared" si="7"/>
        <v>5845</v>
      </c>
      <c r="F15" s="840">
        <v>1114</v>
      </c>
      <c r="G15" s="840">
        <v>4731</v>
      </c>
      <c r="H15" s="830">
        <f t="shared" si="6"/>
        <v>7346</v>
      </c>
      <c r="I15" s="840">
        <v>7270</v>
      </c>
      <c r="J15" s="840">
        <v>76</v>
      </c>
      <c r="K15" s="840">
        <f t="shared" si="3"/>
        <v>38431</v>
      </c>
      <c r="L15" s="841">
        <v>1839</v>
      </c>
      <c r="M15" s="841">
        <v>99</v>
      </c>
      <c r="N15" s="841">
        <v>8967</v>
      </c>
      <c r="O15" s="841">
        <v>12711</v>
      </c>
      <c r="P15" s="841">
        <v>6201</v>
      </c>
      <c r="Q15" s="841">
        <v>8613</v>
      </c>
      <c r="R15" s="841">
        <v>1</v>
      </c>
      <c r="S15" s="841">
        <v>5698</v>
      </c>
      <c r="T15" s="836"/>
      <c r="V15" s="842"/>
      <c r="X15" s="832"/>
      <c r="Y15" s="832"/>
      <c r="AI15" s="837"/>
      <c r="AJ15" s="832"/>
    </row>
    <row r="16" spans="1:36" x14ac:dyDescent="0.2">
      <c r="A16" s="443">
        <v>6</v>
      </c>
      <c r="B16" s="413" t="s">
        <v>26</v>
      </c>
      <c r="C16" s="446" t="s">
        <v>27</v>
      </c>
      <c r="D16" s="840">
        <f t="shared" si="5"/>
        <v>383496</v>
      </c>
      <c r="E16" s="840">
        <f t="shared" si="7"/>
        <v>38313</v>
      </c>
      <c r="F16" s="840">
        <v>7635</v>
      </c>
      <c r="G16" s="840">
        <v>30678</v>
      </c>
      <c r="H16" s="830">
        <f t="shared" si="6"/>
        <v>50004</v>
      </c>
      <c r="I16" s="840">
        <v>49820</v>
      </c>
      <c r="J16" s="840">
        <v>184</v>
      </c>
      <c r="K16" s="840">
        <f t="shared" si="3"/>
        <v>295179</v>
      </c>
      <c r="L16" s="841">
        <v>12604</v>
      </c>
      <c r="M16" s="841">
        <v>696</v>
      </c>
      <c r="N16" s="841">
        <v>52911</v>
      </c>
      <c r="O16" s="841">
        <v>108096</v>
      </c>
      <c r="P16" s="841">
        <v>3660</v>
      </c>
      <c r="Q16" s="841">
        <v>114657</v>
      </c>
      <c r="R16" s="841">
        <v>2555</v>
      </c>
      <c r="S16" s="841">
        <v>46860</v>
      </c>
      <c r="T16" s="836"/>
      <c r="V16" s="842"/>
      <c r="X16" s="832"/>
      <c r="Y16" s="832"/>
      <c r="AI16" s="837"/>
      <c r="AJ16" s="832"/>
    </row>
    <row r="17" spans="1:36" x14ac:dyDescent="0.2">
      <c r="A17" s="443">
        <v>7</v>
      </c>
      <c r="B17" s="447" t="s">
        <v>28</v>
      </c>
      <c r="C17" s="448" t="s">
        <v>29</v>
      </c>
      <c r="D17" s="840">
        <f t="shared" si="5"/>
        <v>143400</v>
      </c>
      <c r="E17" s="840">
        <f t="shared" si="7"/>
        <v>14189</v>
      </c>
      <c r="F17" s="840">
        <v>2863</v>
      </c>
      <c r="G17" s="840">
        <v>11326</v>
      </c>
      <c r="H17" s="830">
        <f t="shared" si="6"/>
        <v>18829</v>
      </c>
      <c r="I17" s="840">
        <v>18681</v>
      </c>
      <c r="J17" s="840">
        <v>148</v>
      </c>
      <c r="K17" s="840">
        <f t="shared" si="3"/>
        <v>110382</v>
      </c>
      <c r="L17" s="841">
        <v>4726</v>
      </c>
      <c r="M17" s="841">
        <v>333</v>
      </c>
      <c r="N17" s="841">
        <v>18159</v>
      </c>
      <c r="O17" s="841">
        <v>26934</v>
      </c>
      <c r="P17" s="841">
        <v>7165</v>
      </c>
      <c r="Q17" s="841">
        <v>51955</v>
      </c>
      <c r="R17" s="841">
        <v>1110</v>
      </c>
      <c r="S17" s="841">
        <v>15539</v>
      </c>
      <c r="T17" s="836"/>
      <c r="V17" s="842"/>
      <c r="X17" s="832"/>
      <c r="Y17" s="832"/>
      <c r="AI17" s="837"/>
      <c r="AJ17" s="832"/>
    </row>
    <row r="18" spans="1:36" x14ac:dyDescent="0.2">
      <c r="A18" s="443">
        <v>8</v>
      </c>
      <c r="B18" s="413" t="s">
        <v>30</v>
      </c>
      <c r="C18" s="446" t="s">
        <v>31</v>
      </c>
      <c r="D18" s="840">
        <f t="shared" si="5"/>
        <v>54998</v>
      </c>
      <c r="E18" s="840">
        <f t="shared" si="7"/>
        <v>5857</v>
      </c>
      <c r="F18" s="840">
        <v>1198</v>
      </c>
      <c r="G18" s="840">
        <v>4659</v>
      </c>
      <c r="H18" s="830">
        <f t="shared" si="6"/>
        <v>7976</v>
      </c>
      <c r="I18" s="840">
        <v>7817</v>
      </c>
      <c r="J18" s="840">
        <v>159</v>
      </c>
      <c r="K18" s="840">
        <f t="shared" si="3"/>
        <v>41165</v>
      </c>
      <c r="L18" s="841">
        <v>1978</v>
      </c>
      <c r="M18" s="841">
        <v>90</v>
      </c>
      <c r="N18" s="841">
        <v>8286</v>
      </c>
      <c r="O18" s="841">
        <v>16021</v>
      </c>
      <c r="P18" s="841">
        <v>3000</v>
      </c>
      <c r="Q18" s="841">
        <v>11789</v>
      </c>
      <c r="R18" s="841">
        <v>1</v>
      </c>
      <c r="S18" s="841">
        <v>6227</v>
      </c>
      <c r="T18" s="836"/>
      <c r="V18" s="842"/>
      <c r="X18" s="832"/>
      <c r="Y18" s="832"/>
      <c r="AI18" s="837"/>
      <c r="AJ18" s="832"/>
    </row>
    <row r="19" spans="1:36" x14ac:dyDescent="0.2">
      <c r="A19" s="443">
        <v>9</v>
      </c>
      <c r="B19" s="413" t="s">
        <v>32</v>
      </c>
      <c r="C19" s="446" t="s">
        <v>33</v>
      </c>
      <c r="D19" s="840">
        <f t="shared" si="5"/>
        <v>49454</v>
      </c>
      <c r="E19" s="840">
        <f t="shared" si="7"/>
        <v>5416</v>
      </c>
      <c r="F19" s="840">
        <v>1054</v>
      </c>
      <c r="G19" s="840">
        <v>4362</v>
      </c>
      <c r="H19" s="830">
        <f t="shared" si="6"/>
        <v>6919</v>
      </c>
      <c r="I19" s="840">
        <v>6881</v>
      </c>
      <c r="J19" s="840">
        <v>38</v>
      </c>
      <c r="K19" s="840">
        <f t="shared" si="3"/>
        <v>37119</v>
      </c>
      <c r="L19" s="841">
        <v>1741</v>
      </c>
      <c r="M19" s="841">
        <v>417</v>
      </c>
      <c r="N19" s="841">
        <v>7593</v>
      </c>
      <c r="O19" s="841">
        <v>15202</v>
      </c>
      <c r="P19" s="841">
        <v>0</v>
      </c>
      <c r="Q19" s="841">
        <v>12163</v>
      </c>
      <c r="R19" s="841">
        <v>3</v>
      </c>
      <c r="S19" s="841">
        <v>7377</v>
      </c>
      <c r="T19" s="836"/>
      <c r="V19" s="842"/>
      <c r="X19" s="832"/>
      <c r="Y19" s="832"/>
      <c r="AI19" s="837"/>
      <c r="AJ19" s="832"/>
    </row>
    <row r="20" spans="1:36" x14ac:dyDescent="0.2">
      <c r="A20" s="443">
        <v>10</v>
      </c>
      <c r="B20" s="413" t="s">
        <v>34</v>
      </c>
      <c r="C20" s="446" t="s">
        <v>35</v>
      </c>
      <c r="D20" s="840">
        <f t="shared" si="5"/>
        <v>61272</v>
      </c>
      <c r="E20" s="840">
        <f t="shared" si="7"/>
        <v>6001</v>
      </c>
      <c r="F20" s="840">
        <v>1388</v>
      </c>
      <c r="G20" s="840">
        <v>4613</v>
      </c>
      <c r="H20" s="830">
        <f t="shared" si="6"/>
        <v>9117</v>
      </c>
      <c r="I20" s="840">
        <v>9057</v>
      </c>
      <c r="J20" s="840">
        <v>60</v>
      </c>
      <c r="K20" s="840">
        <f t="shared" si="3"/>
        <v>46154</v>
      </c>
      <c r="L20" s="841">
        <v>2291</v>
      </c>
      <c r="M20" s="841">
        <v>75</v>
      </c>
      <c r="N20" s="841">
        <v>11957</v>
      </c>
      <c r="O20" s="841">
        <v>16996</v>
      </c>
      <c r="P20" s="841">
        <v>5206</v>
      </c>
      <c r="Q20" s="841">
        <v>9626</v>
      </c>
      <c r="R20" s="841">
        <v>3</v>
      </c>
      <c r="S20" s="841">
        <v>9011</v>
      </c>
      <c r="T20" s="836"/>
      <c r="V20" s="842"/>
      <c r="X20" s="832"/>
      <c r="Y20" s="832"/>
      <c r="AI20" s="837"/>
      <c r="AJ20" s="832"/>
    </row>
    <row r="21" spans="1:36" x14ac:dyDescent="0.2">
      <c r="A21" s="443">
        <v>11</v>
      </c>
      <c r="B21" s="413" t="s">
        <v>36</v>
      </c>
      <c r="C21" s="446" t="s">
        <v>37</v>
      </c>
      <c r="D21" s="840">
        <f t="shared" si="5"/>
        <v>50763</v>
      </c>
      <c r="E21" s="840">
        <f t="shared" si="7"/>
        <v>6212</v>
      </c>
      <c r="F21" s="840">
        <v>1079</v>
      </c>
      <c r="G21" s="840">
        <v>5133</v>
      </c>
      <c r="H21" s="830">
        <f t="shared" si="6"/>
        <v>7123</v>
      </c>
      <c r="I21" s="840">
        <v>7038</v>
      </c>
      <c r="J21" s="840">
        <v>85</v>
      </c>
      <c r="K21" s="840">
        <f t="shared" si="3"/>
        <v>37428</v>
      </c>
      <c r="L21" s="841">
        <v>1781</v>
      </c>
      <c r="M21" s="841">
        <v>111</v>
      </c>
      <c r="N21" s="841">
        <v>9966</v>
      </c>
      <c r="O21" s="841">
        <v>8170</v>
      </c>
      <c r="P21" s="841">
        <v>11105</v>
      </c>
      <c r="Q21" s="841">
        <v>6293</v>
      </c>
      <c r="R21" s="841">
        <v>2</v>
      </c>
      <c r="S21" s="841">
        <v>8641</v>
      </c>
      <c r="T21" s="836"/>
      <c r="V21" s="842"/>
      <c r="X21" s="832"/>
      <c r="Y21" s="832"/>
      <c r="AI21" s="837"/>
      <c r="AJ21" s="832"/>
    </row>
    <row r="22" spans="1:36" x14ac:dyDescent="0.2">
      <c r="A22" s="443">
        <v>12</v>
      </c>
      <c r="B22" s="413" t="s">
        <v>38</v>
      </c>
      <c r="C22" s="446" t="s">
        <v>39</v>
      </c>
      <c r="D22" s="840">
        <f t="shared" si="5"/>
        <v>101247</v>
      </c>
      <c r="E22" s="840">
        <f t="shared" si="7"/>
        <v>11202</v>
      </c>
      <c r="F22" s="840">
        <v>2137</v>
      </c>
      <c r="G22" s="840">
        <v>9065</v>
      </c>
      <c r="H22" s="830">
        <f t="shared" si="6"/>
        <v>14120</v>
      </c>
      <c r="I22" s="840">
        <v>13942</v>
      </c>
      <c r="J22" s="840">
        <v>178</v>
      </c>
      <c r="K22" s="840">
        <f t="shared" si="3"/>
        <v>75925</v>
      </c>
      <c r="L22" s="841">
        <v>3527</v>
      </c>
      <c r="M22" s="841">
        <v>240</v>
      </c>
      <c r="N22" s="841">
        <v>16078</v>
      </c>
      <c r="O22" s="841">
        <v>27732</v>
      </c>
      <c r="P22" s="841">
        <v>2010</v>
      </c>
      <c r="Q22" s="841">
        <v>25572</v>
      </c>
      <c r="R22" s="841">
        <v>766</v>
      </c>
      <c r="S22" s="841">
        <v>14669</v>
      </c>
      <c r="T22" s="836"/>
      <c r="V22" s="842"/>
      <c r="X22" s="832"/>
      <c r="Y22" s="832"/>
      <c r="AI22" s="837"/>
      <c r="AJ22" s="832"/>
    </row>
    <row r="23" spans="1:36" ht="24" x14ac:dyDescent="0.2">
      <c r="A23" s="2">
        <v>13</v>
      </c>
      <c r="B23" s="413" t="s">
        <v>40</v>
      </c>
      <c r="C23" s="446" t="s">
        <v>41</v>
      </c>
      <c r="D23" s="840">
        <f t="shared" si="5"/>
        <v>0</v>
      </c>
      <c r="E23" s="840">
        <f t="shared" si="7"/>
        <v>0</v>
      </c>
      <c r="F23" s="840">
        <v>0</v>
      </c>
      <c r="G23" s="840">
        <v>0</v>
      </c>
      <c r="H23" s="830">
        <f t="shared" si="6"/>
        <v>0</v>
      </c>
      <c r="I23" s="840">
        <v>0</v>
      </c>
      <c r="J23" s="840">
        <v>0</v>
      </c>
      <c r="K23" s="840">
        <f t="shared" si="3"/>
        <v>0</v>
      </c>
      <c r="L23" s="841">
        <v>0</v>
      </c>
      <c r="M23" s="841">
        <v>0</v>
      </c>
      <c r="N23" s="841">
        <v>0</v>
      </c>
      <c r="O23" s="841">
        <v>0</v>
      </c>
      <c r="P23" s="841">
        <v>0</v>
      </c>
      <c r="Q23" s="841">
        <v>0</v>
      </c>
      <c r="R23" s="841">
        <v>0</v>
      </c>
      <c r="S23" s="841">
        <v>0</v>
      </c>
      <c r="T23" s="836"/>
      <c r="V23" s="842"/>
      <c r="X23" s="832"/>
      <c r="Y23" s="832"/>
      <c r="AI23" s="837"/>
      <c r="AJ23" s="832"/>
    </row>
    <row r="24" spans="1:36" ht="24" x14ac:dyDescent="0.2">
      <c r="A24" s="443">
        <v>14</v>
      </c>
      <c r="B24" s="415" t="s">
        <v>42</v>
      </c>
      <c r="C24" s="446" t="s">
        <v>43</v>
      </c>
      <c r="D24" s="840">
        <f t="shared" si="5"/>
        <v>0</v>
      </c>
      <c r="E24" s="840">
        <f t="shared" si="7"/>
        <v>0</v>
      </c>
      <c r="F24" s="840">
        <v>0</v>
      </c>
      <c r="G24" s="840">
        <v>0</v>
      </c>
      <c r="H24" s="830">
        <f t="shared" si="6"/>
        <v>0</v>
      </c>
      <c r="I24" s="840">
        <v>0</v>
      </c>
      <c r="J24" s="840">
        <v>0</v>
      </c>
      <c r="K24" s="840">
        <f t="shared" si="3"/>
        <v>0</v>
      </c>
      <c r="L24" s="841">
        <v>0</v>
      </c>
      <c r="M24" s="841">
        <v>0</v>
      </c>
      <c r="N24" s="841">
        <v>0</v>
      </c>
      <c r="O24" s="841">
        <v>0</v>
      </c>
      <c r="P24" s="841">
        <v>0</v>
      </c>
      <c r="Q24" s="841">
        <v>0</v>
      </c>
      <c r="R24" s="841">
        <v>0</v>
      </c>
      <c r="S24" s="841">
        <v>0</v>
      </c>
      <c r="T24" s="836"/>
      <c r="V24" s="842"/>
      <c r="X24" s="832"/>
      <c r="Y24" s="832"/>
      <c r="AI24" s="837"/>
      <c r="AJ24" s="832"/>
    </row>
    <row r="25" spans="1:36" x14ac:dyDescent="0.2">
      <c r="A25" s="2">
        <v>15</v>
      </c>
      <c r="B25" s="413" t="s">
        <v>44</v>
      </c>
      <c r="C25" s="446" t="s">
        <v>45</v>
      </c>
      <c r="D25" s="840">
        <f t="shared" si="5"/>
        <v>66097</v>
      </c>
      <c r="E25" s="840">
        <f t="shared" si="7"/>
        <v>8181</v>
      </c>
      <c r="F25" s="840">
        <v>1353</v>
      </c>
      <c r="G25" s="840">
        <v>6828</v>
      </c>
      <c r="H25" s="830">
        <f t="shared" si="6"/>
        <v>8946</v>
      </c>
      <c r="I25" s="840">
        <v>8826</v>
      </c>
      <c r="J25" s="840">
        <v>120</v>
      </c>
      <c r="K25" s="840">
        <f t="shared" si="3"/>
        <v>48970</v>
      </c>
      <c r="L25" s="841">
        <v>2233</v>
      </c>
      <c r="M25" s="841">
        <v>261</v>
      </c>
      <c r="N25" s="841">
        <v>6313</v>
      </c>
      <c r="O25" s="841">
        <v>14284</v>
      </c>
      <c r="P25" s="841">
        <v>5107</v>
      </c>
      <c r="Q25" s="841">
        <v>20569</v>
      </c>
      <c r="R25" s="841">
        <v>203</v>
      </c>
      <c r="S25" s="841">
        <v>6357</v>
      </c>
      <c r="T25" s="836"/>
      <c r="V25" s="842"/>
      <c r="X25" s="832"/>
      <c r="Y25" s="832"/>
      <c r="AI25" s="837"/>
      <c r="AJ25" s="832"/>
    </row>
    <row r="26" spans="1:36" x14ac:dyDescent="0.2">
      <c r="A26" s="443">
        <v>16</v>
      </c>
      <c r="B26" s="413" t="s">
        <v>46</v>
      </c>
      <c r="C26" s="446" t="s">
        <v>47</v>
      </c>
      <c r="D26" s="840">
        <f t="shared" si="5"/>
        <v>99013</v>
      </c>
      <c r="E26" s="840">
        <f t="shared" si="7"/>
        <v>12339</v>
      </c>
      <c r="F26" s="840">
        <v>1923</v>
      </c>
      <c r="G26" s="840">
        <v>10416</v>
      </c>
      <c r="H26" s="830">
        <f t="shared" si="6"/>
        <v>12731</v>
      </c>
      <c r="I26" s="840">
        <v>12548</v>
      </c>
      <c r="J26" s="840">
        <v>183</v>
      </c>
      <c r="K26" s="840">
        <f t="shared" si="3"/>
        <v>73943</v>
      </c>
      <c r="L26" s="841">
        <v>3175</v>
      </c>
      <c r="M26" s="841">
        <v>198</v>
      </c>
      <c r="N26" s="841">
        <v>9605</v>
      </c>
      <c r="O26" s="841">
        <v>29235</v>
      </c>
      <c r="P26" s="841">
        <v>0</v>
      </c>
      <c r="Q26" s="841">
        <v>31723</v>
      </c>
      <c r="R26" s="841">
        <v>7</v>
      </c>
      <c r="S26" s="841">
        <v>6446</v>
      </c>
      <c r="T26" s="836"/>
      <c r="V26" s="842"/>
      <c r="X26" s="832"/>
      <c r="Y26" s="832"/>
      <c r="AI26" s="837"/>
      <c r="AJ26" s="832"/>
    </row>
    <row r="27" spans="1:36" x14ac:dyDescent="0.2">
      <c r="A27" s="2">
        <v>17</v>
      </c>
      <c r="B27" s="413" t="s">
        <v>48</v>
      </c>
      <c r="C27" s="446" t="s">
        <v>49</v>
      </c>
      <c r="D27" s="840">
        <f t="shared" si="5"/>
        <v>126855</v>
      </c>
      <c r="E27" s="840">
        <f t="shared" si="7"/>
        <v>15840</v>
      </c>
      <c r="F27" s="840">
        <v>2540</v>
      </c>
      <c r="G27" s="840">
        <v>13300</v>
      </c>
      <c r="H27" s="830">
        <f t="shared" si="6"/>
        <v>16684</v>
      </c>
      <c r="I27" s="840">
        <v>16573</v>
      </c>
      <c r="J27" s="840">
        <v>111</v>
      </c>
      <c r="K27" s="840">
        <f t="shared" si="3"/>
        <v>94331</v>
      </c>
      <c r="L27" s="841">
        <v>4193</v>
      </c>
      <c r="M27" s="841">
        <v>456</v>
      </c>
      <c r="N27" s="841">
        <v>9979</v>
      </c>
      <c r="O27" s="841">
        <v>37131</v>
      </c>
      <c r="P27" s="841">
        <v>8866</v>
      </c>
      <c r="Q27" s="841">
        <v>33698</v>
      </c>
      <c r="R27" s="841">
        <v>8</v>
      </c>
      <c r="S27" s="841">
        <v>7622</v>
      </c>
      <c r="T27" s="836"/>
      <c r="V27" s="842"/>
      <c r="X27" s="832"/>
      <c r="Y27" s="832"/>
      <c r="AI27" s="837"/>
      <c r="AJ27" s="832"/>
    </row>
    <row r="28" spans="1:36" x14ac:dyDescent="0.2">
      <c r="A28" s="443">
        <v>18</v>
      </c>
      <c r="B28" s="413" t="s">
        <v>50</v>
      </c>
      <c r="C28" s="446" t="s">
        <v>51</v>
      </c>
      <c r="D28" s="840">
        <f t="shared" si="5"/>
        <v>249382</v>
      </c>
      <c r="E28" s="840">
        <f t="shared" si="7"/>
        <v>25841</v>
      </c>
      <c r="F28" s="840">
        <v>4877</v>
      </c>
      <c r="G28" s="840">
        <v>20964</v>
      </c>
      <c r="H28" s="830">
        <f t="shared" si="6"/>
        <v>32445</v>
      </c>
      <c r="I28" s="840">
        <v>31825</v>
      </c>
      <c r="J28" s="840">
        <v>620</v>
      </c>
      <c r="K28" s="840">
        <f t="shared" si="3"/>
        <v>191096</v>
      </c>
      <c r="L28" s="841">
        <v>8052</v>
      </c>
      <c r="M28" s="841">
        <v>888</v>
      </c>
      <c r="N28" s="841">
        <v>22658</v>
      </c>
      <c r="O28" s="841">
        <v>42838</v>
      </c>
      <c r="P28" s="841">
        <v>52300</v>
      </c>
      <c r="Q28" s="841">
        <v>63363</v>
      </c>
      <c r="R28" s="841">
        <v>997</v>
      </c>
      <c r="S28" s="841">
        <v>13025</v>
      </c>
      <c r="T28" s="836"/>
      <c r="V28" s="842"/>
      <c r="X28" s="832"/>
      <c r="Y28" s="832"/>
      <c r="AI28" s="837"/>
      <c r="AJ28" s="832"/>
    </row>
    <row r="29" spans="1:36" x14ac:dyDescent="0.2">
      <c r="A29" s="2">
        <v>19</v>
      </c>
      <c r="B29" s="415" t="s">
        <v>52</v>
      </c>
      <c r="C29" s="444" t="s">
        <v>53</v>
      </c>
      <c r="D29" s="840">
        <f t="shared" si="5"/>
        <v>40799</v>
      </c>
      <c r="E29" s="840">
        <f t="shared" si="7"/>
        <v>5421</v>
      </c>
      <c r="F29" s="840">
        <v>779</v>
      </c>
      <c r="G29" s="840">
        <v>4642</v>
      </c>
      <c r="H29" s="830">
        <f t="shared" si="6"/>
        <v>5108</v>
      </c>
      <c r="I29" s="840">
        <v>5084</v>
      </c>
      <c r="J29" s="840">
        <v>24</v>
      </c>
      <c r="K29" s="840">
        <f t="shared" si="3"/>
        <v>30270</v>
      </c>
      <c r="L29" s="841">
        <v>1286</v>
      </c>
      <c r="M29" s="841">
        <v>255</v>
      </c>
      <c r="N29" s="841">
        <v>6972</v>
      </c>
      <c r="O29" s="841">
        <v>13370</v>
      </c>
      <c r="P29" s="841">
        <v>1600</v>
      </c>
      <c r="Q29" s="841">
        <v>6786</v>
      </c>
      <c r="R29" s="841">
        <v>1</v>
      </c>
      <c r="S29" s="841">
        <v>3339</v>
      </c>
      <c r="T29" s="836"/>
      <c r="V29" s="842"/>
      <c r="X29" s="832"/>
      <c r="Y29" s="832"/>
      <c r="AI29" s="837"/>
      <c r="AJ29" s="832"/>
    </row>
    <row r="30" spans="1:36" x14ac:dyDescent="0.2">
      <c r="A30" s="443">
        <v>20</v>
      </c>
      <c r="B30" s="415" t="s">
        <v>54</v>
      </c>
      <c r="C30" s="444" t="s">
        <v>55</v>
      </c>
      <c r="D30" s="840">
        <f t="shared" si="5"/>
        <v>31253</v>
      </c>
      <c r="E30" s="840">
        <f t="shared" si="7"/>
        <v>3583</v>
      </c>
      <c r="F30" s="840">
        <v>664</v>
      </c>
      <c r="G30" s="840">
        <v>2919</v>
      </c>
      <c r="H30" s="830">
        <f t="shared" si="6"/>
        <v>4475</v>
      </c>
      <c r="I30" s="840">
        <v>4330</v>
      </c>
      <c r="J30" s="840">
        <v>145</v>
      </c>
      <c r="K30" s="840">
        <f t="shared" si="3"/>
        <v>23195</v>
      </c>
      <c r="L30" s="841">
        <v>1095</v>
      </c>
      <c r="M30" s="841">
        <v>120</v>
      </c>
      <c r="N30" s="841">
        <v>5727</v>
      </c>
      <c r="O30" s="841">
        <v>7451</v>
      </c>
      <c r="P30" s="841">
        <v>0</v>
      </c>
      <c r="Q30" s="841">
        <v>8801</v>
      </c>
      <c r="R30" s="841">
        <v>1</v>
      </c>
      <c r="S30" s="841">
        <v>4550</v>
      </c>
      <c r="T30" s="836"/>
      <c r="V30" s="842"/>
      <c r="X30" s="832"/>
      <c r="Y30" s="832"/>
      <c r="AI30" s="837"/>
      <c r="AJ30" s="832"/>
    </row>
    <row r="31" spans="1:36" x14ac:dyDescent="0.2">
      <c r="A31" s="2">
        <v>21</v>
      </c>
      <c r="B31" s="415" t="s">
        <v>56</v>
      </c>
      <c r="C31" s="444" t="s">
        <v>57</v>
      </c>
      <c r="D31" s="840">
        <f t="shared" si="5"/>
        <v>164294</v>
      </c>
      <c r="E31" s="840">
        <f t="shared" si="7"/>
        <v>19544</v>
      </c>
      <c r="F31" s="840">
        <v>3374</v>
      </c>
      <c r="G31" s="840">
        <v>16170</v>
      </c>
      <c r="H31" s="830">
        <f t="shared" si="6"/>
        <v>22212</v>
      </c>
      <c r="I31" s="840">
        <v>22018</v>
      </c>
      <c r="J31" s="840">
        <v>194</v>
      </c>
      <c r="K31" s="840">
        <f t="shared" si="3"/>
        <v>122538</v>
      </c>
      <c r="L31" s="841">
        <v>5571</v>
      </c>
      <c r="M31" s="841">
        <v>429</v>
      </c>
      <c r="N31" s="841">
        <v>22456</v>
      </c>
      <c r="O31" s="841">
        <v>43741</v>
      </c>
      <c r="P31" s="841">
        <v>3033</v>
      </c>
      <c r="Q31" s="841">
        <v>46053</v>
      </c>
      <c r="R31" s="841">
        <v>1255</v>
      </c>
      <c r="S31" s="841">
        <v>17600</v>
      </c>
      <c r="T31" s="836"/>
      <c r="V31" s="842"/>
      <c r="X31" s="832"/>
      <c r="Y31" s="832"/>
      <c r="AI31" s="837"/>
      <c r="AJ31" s="832"/>
    </row>
    <row r="32" spans="1:36" x14ac:dyDescent="0.2">
      <c r="A32" s="443">
        <v>22</v>
      </c>
      <c r="B32" s="415" t="s">
        <v>58</v>
      </c>
      <c r="C32" s="444" t="s">
        <v>59</v>
      </c>
      <c r="D32" s="840">
        <f t="shared" si="5"/>
        <v>150463</v>
      </c>
      <c r="E32" s="840">
        <f t="shared" si="7"/>
        <v>16271</v>
      </c>
      <c r="F32" s="840">
        <v>2815</v>
      </c>
      <c r="G32" s="840">
        <v>13456</v>
      </c>
      <c r="H32" s="830">
        <f t="shared" si="6"/>
        <v>18528</v>
      </c>
      <c r="I32" s="840">
        <v>18368</v>
      </c>
      <c r="J32" s="840">
        <v>160</v>
      </c>
      <c r="K32" s="840">
        <f t="shared" si="3"/>
        <v>115664</v>
      </c>
      <c r="L32" s="841">
        <v>4647</v>
      </c>
      <c r="M32" s="841">
        <v>354</v>
      </c>
      <c r="N32" s="841">
        <v>14461</v>
      </c>
      <c r="O32" s="841">
        <v>52055</v>
      </c>
      <c r="P32" s="841">
        <v>0</v>
      </c>
      <c r="Q32" s="841">
        <v>43232</v>
      </c>
      <c r="R32" s="841">
        <v>915</v>
      </c>
      <c r="S32" s="841">
        <v>17702</v>
      </c>
      <c r="T32" s="836"/>
      <c r="V32" s="842"/>
      <c r="X32" s="832"/>
      <c r="Y32" s="832"/>
      <c r="AI32" s="837"/>
      <c r="AJ32" s="832"/>
    </row>
    <row r="33" spans="1:36" ht="24" x14ac:dyDescent="0.2">
      <c r="A33" s="2">
        <v>23</v>
      </c>
      <c r="B33" s="413" t="s">
        <v>60</v>
      </c>
      <c r="C33" s="446" t="s">
        <v>61</v>
      </c>
      <c r="D33" s="840">
        <f t="shared" si="5"/>
        <v>35926</v>
      </c>
      <c r="E33" s="840">
        <f t="shared" si="7"/>
        <v>3158</v>
      </c>
      <c r="F33" s="840">
        <v>683</v>
      </c>
      <c r="G33" s="840">
        <v>2475</v>
      </c>
      <c r="H33" s="830">
        <f t="shared" si="6"/>
        <v>4502</v>
      </c>
      <c r="I33" s="840">
        <v>4459</v>
      </c>
      <c r="J33" s="840">
        <v>43</v>
      </c>
      <c r="K33" s="840">
        <f t="shared" si="3"/>
        <v>28266</v>
      </c>
      <c r="L33" s="841">
        <v>1128</v>
      </c>
      <c r="M33" s="841">
        <v>48</v>
      </c>
      <c r="N33" s="841">
        <v>4198</v>
      </c>
      <c r="O33" s="841">
        <v>14829</v>
      </c>
      <c r="P33" s="841">
        <v>1693</v>
      </c>
      <c r="Q33" s="841">
        <v>6367</v>
      </c>
      <c r="R33" s="841">
        <v>3</v>
      </c>
      <c r="S33" s="841">
        <v>2092</v>
      </c>
      <c r="T33" s="836"/>
      <c r="V33" s="842"/>
      <c r="X33" s="832"/>
      <c r="Y33" s="832"/>
      <c r="AI33" s="837"/>
      <c r="AJ33" s="832"/>
    </row>
    <row r="34" spans="1:36" x14ac:dyDescent="0.2">
      <c r="A34" s="443">
        <v>24</v>
      </c>
      <c r="B34" s="413" t="s">
        <v>62</v>
      </c>
      <c r="C34" s="446" t="s">
        <v>63</v>
      </c>
      <c r="D34" s="840">
        <f t="shared" si="5"/>
        <v>0</v>
      </c>
      <c r="E34" s="840">
        <f t="shared" si="7"/>
        <v>0</v>
      </c>
      <c r="F34" s="840">
        <v>0</v>
      </c>
      <c r="G34" s="840">
        <v>0</v>
      </c>
      <c r="H34" s="830">
        <f t="shared" si="6"/>
        <v>0</v>
      </c>
      <c r="I34" s="840">
        <v>0</v>
      </c>
      <c r="J34" s="840">
        <v>0</v>
      </c>
      <c r="K34" s="840">
        <f t="shared" si="3"/>
        <v>0</v>
      </c>
      <c r="L34" s="841">
        <v>0</v>
      </c>
      <c r="M34" s="841">
        <v>0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36"/>
      <c r="V34" s="842"/>
      <c r="X34" s="832"/>
      <c r="Y34" s="832"/>
      <c r="AI34" s="837"/>
      <c r="AJ34" s="832"/>
    </row>
    <row r="35" spans="1:36" ht="24" x14ac:dyDescent="0.2">
      <c r="A35" s="2">
        <v>25</v>
      </c>
      <c r="B35" s="413" t="s">
        <v>64</v>
      </c>
      <c r="C35" s="446" t="s">
        <v>65</v>
      </c>
      <c r="D35" s="840">
        <f t="shared" si="5"/>
        <v>0</v>
      </c>
      <c r="E35" s="840">
        <f t="shared" si="7"/>
        <v>0</v>
      </c>
      <c r="F35" s="840">
        <v>0</v>
      </c>
      <c r="G35" s="840">
        <v>0</v>
      </c>
      <c r="H35" s="830">
        <f t="shared" si="6"/>
        <v>0</v>
      </c>
      <c r="I35" s="840">
        <v>0</v>
      </c>
      <c r="J35" s="840">
        <v>0</v>
      </c>
      <c r="K35" s="840">
        <f t="shared" si="3"/>
        <v>0</v>
      </c>
      <c r="L35" s="841">
        <v>0</v>
      </c>
      <c r="M35" s="841">
        <v>0</v>
      </c>
      <c r="N35" s="841">
        <v>0</v>
      </c>
      <c r="O35" s="841">
        <v>0</v>
      </c>
      <c r="P35" s="841">
        <v>0</v>
      </c>
      <c r="Q35" s="841">
        <v>0</v>
      </c>
      <c r="R35" s="841">
        <v>0</v>
      </c>
      <c r="S35" s="841">
        <v>0</v>
      </c>
      <c r="T35" s="836"/>
      <c r="V35" s="842"/>
      <c r="X35" s="832"/>
      <c r="Y35" s="832"/>
      <c r="AI35" s="837"/>
      <c r="AJ35" s="832"/>
    </row>
    <row r="36" spans="1:36" ht="24" x14ac:dyDescent="0.2">
      <c r="A36" s="443">
        <v>26</v>
      </c>
      <c r="B36" s="415" t="s">
        <v>66</v>
      </c>
      <c r="C36" s="448" t="s">
        <v>67</v>
      </c>
      <c r="D36" s="840">
        <f t="shared" si="5"/>
        <v>374763</v>
      </c>
      <c r="E36" s="840">
        <f t="shared" si="7"/>
        <v>25581</v>
      </c>
      <c r="F36" s="840">
        <v>11370</v>
      </c>
      <c r="G36" s="840">
        <v>14211</v>
      </c>
      <c r="H36" s="830">
        <f t="shared" si="6"/>
        <v>74237</v>
      </c>
      <c r="I36" s="840">
        <v>74194</v>
      </c>
      <c r="J36" s="840">
        <v>43</v>
      </c>
      <c r="K36" s="840">
        <f t="shared" si="3"/>
        <v>274945</v>
      </c>
      <c r="L36" s="841">
        <v>18772</v>
      </c>
      <c r="M36" s="841">
        <v>2454</v>
      </c>
      <c r="N36" s="841">
        <v>50047</v>
      </c>
      <c r="O36" s="841">
        <v>72528</v>
      </c>
      <c r="P36" s="841">
        <v>58471</v>
      </c>
      <c r="Q36" s="841">
        <v>69520</v>
      </c>
      <c r="R36" s="841">
        <v>3153</v>
      </c>
      <c r="S36" s="841">
        <v>42863</v>
      </c>
      <c r="T36" s="836"/>
      <c r="V36" s="842"/>
      <c r="X36" s="832"/>
      <c r="Y36" s="832"/>
      <c r="AI36" s="837"/>
      <c r="AJ36" s="832"/>
    </row>
    <row r="37" spans="1:36" ht="24" x14ac:dyDescent="0.2">
      <c r="A37" s="2">
        <v>27</v>
      </c>
      <c r="B37" s="413" t="s">
        <v>68</v>
      </c>
      <c r="C37" s="446" t="s">
        <v>69</v>
      </c>
      <c r="D37" s="840">
        <f t="shared" si="5"/>
        <v>122646</v>
      </c>
      <c r="E37" s="840">
        <f t="shared" si="7"/>
        <v>13041</v>
      </c>
      <c r="F37" s="840">
        <v>2891</v>
      </c>
      <c r="G37" s="840">
        <v>10150</v>
      </c>
      <c r="H37" s="830">
        <f t="shared" si="6"/>
        <v>18898</v>
      </c>
      <c r="I37" s="840">
        <v>18867</v>
      </c>
      <c r="J37" s="840">
        <v>31</v>
      </c>
      <c r="K37" s="840">
        <f t="shared" si="3"/>
        <v>90707</v>
      </c>
      <c r="L37" s="841">
        <v>4773</v>
      </c>
      <c r="M37" s="841">
        <v>291</v>
      </c>
      <c r="N37" s="841">
        <v>16553</v>
      </c>
      <c r="O37" s="841">
        <v>28890</v>
      </c>
      <c r="P37" s="841">
        <v>21125</v>
      </c>
      <c r="Q37" s="841">
        <v>18256</v>
      </c>
      <c r="R37" s="841">
        <v>819</v>
      </c>
      <c r="S37" s="841">
        <v>12576</v>
      </c>
      <c r="T37" s="836"/>
      <c r="V37" s="842"/>
      <c r="X37" s="832"/>
      <c r="Y37" s="832"/>
      <c r="AI37" s="837"/>
      <c r="AJ37" s="832"/>
    </row>
    <row r="38" spans="1:36" x14ac:dyDescent="0.2">
      <c r="A38" s="443">
        <v>28</v>
      </c>
      <c r="B38" s="413" t="s">
        <v>70</v>
      </c>
      <c r="C38" s="446" t="s">
        <v>71</v>
      </c>
      <c r="D38" s="840">
        <f t="shared" si="5"/>
        <v>214584</v>
      </c>
      <c r="E38" s="840">
        <f t="shared" si="7"/>
        <v>43540</v>
      </c>
      <c r="F38" s="840">
        <v>0</v>
      </c>
      <c r="G38" s="840">
        <v>43540</v>
      </c>
      <c r="H38" s="830">
        <f t="shared" si="6"/>
        <v>276</v>
      </c>
      <c r="I38" s="840">
        <v>0</v>
      </c>
      <c r="J38" s="840">
        <v>276</v>
      </c>
      <c r="K38" s="840">
        <f t="shared" si="3"/>
        <v>170768</v>
      </c>
      <c r="L38" s="841">
        <v>0</v>
      </c>
      <c r="M38" s="841">
        <v>0</v>
      </c>
      <c r="N38" s="841">
        <v>5463</v>
      </c>
      <c r="O38" s="841">
        <v>43113</v>
      </c>
      <c r="P38" s="841">
        <v>58000</v>
      </c>
      <c r="Q38" s="841">
        <v>64159</v>
      </c>
      <c r="R38" s="841">
        <v>33</v>
      </c>
      <c r="S38" s="841">
        <v>0</v>
      </c>
      <c r="T38" s="836"/>
      <c r="V38" s="842"/>
      <c r="X38" s="832"/>
      <c r="Y38" s="832"/>
      <c r="AI38" s="837"/>
      <c r="AJ38" s="832"/>
    </row>
    <row r="39" spans="1:36" x14ac:dyDescent="0.2">
      <c r="A39" s="2">
        <v>29</v>
      </c>
      <c r="B39" s="445" t="s">
        <v>72</v>
      </c>
      <c r="C39" s="448" t="s">
        <v>73</v>
      </c>
      <c r="D39" s="840">
        <f t="shared" si="5"/>
        <v>13320</v>
      </c>
      <c r="E39" s="840">
        <f t="shared" si="7"/>
        <v>0</v>
      </c>
      <c r="F39" s="840">
        <v>0</v>
      </c>
      <c r="G39" s="840">
        <v>0</v>
      </c>
      <c r="H39" s="830">
        <f t="shared" si="6"/>
        <v>0</v>
      </c>
      <c r="I39" s="840">
        <v>0</v>
      </c>
      <c r="J39" s="840">
        <v>0</v>
      </c>
      <c r="K39" s="840">
        <f t="shared" si="3"/>
        <v>13320</v>
      </c>
      <c r="L39" s="841">
        <v>0</v>
      </c>
      <c r="M39" s="841">
        <v>0</v>
      </c>
      <c r="N39" s="841">
        <v>0</v>
      </c>
      <c r="O39" s="841">
        <v>10270</v>
      </c>
      <c r="P39" s="841">
        <v>3050</v>
      </c>
      <c r="Q39" s="841">
        <v>0</v>
      </c>
      <c r="R39" s="841">
        <v>0</v>
      </c>
      <c r="S39" s="841">
        <v>0</v>
      </c>
      <c r="T39" s="836"/>
      <c r="V39" s="842"/>
      <c r="X39" s="832"/>
      <c r="Y39" s="832"/>
      <c r="AI39" s="837"/>
      <c r="AJ39" s="832"/>
    </row>
    <row r="40" spans="1:36" ht="24" x14ac:dyDescent="0.2">
      <c r="A40" s="443">
        <v>30</v>
      </c>
      <c r="B40" s="415" t="s">
        <v>74</v>
      </c>
      <c r="C40" s="444" t="s">
        <v>357</v>
      </c>
      <c r="D40" s="840">
        <f t="shared" si="5"/>
        <v>0</v>
      </c>
      <c r="E40" s="840">
        <f t="shared" si="7"/>
        <v>0</v>
      </c>
      <c r="F40" s="840">
        <v>0</v>
      </c>
      <c r="G40" s="840">
        <v>0</v>
      </c>
      <c r="H40" s="830">
        <f t="shared" si="6"/>
        <v>0</v>
      </c>
      <c r="I40" s="840">
        <v>0</v>
      </c>
      <c r="J40" s="840">
        <v>0</v>
      </c>
      <c r="K40" s="840">
        <f t="shared" si="3"/>
        <v>0</v>
      </c>
      <c r="L40" s="841">
        <v>0</v>
      </c>
      <c r="M40" s="841">
        <v>0</v>
      </c>
      <c r="N40" s="841">
        <v>0</v>
      </c>
      <c r="O40" s="841">
        <v>0</v>
      </c>
      <c r="P40" s="841">
        <v>0</v>
      </c>
      <c r="Q40" s="841">
        <v>0</v>
      </c>
      <c r="R40" s="841">
        <v>0</v>
      </c>
      <c r="S40" s="841">
        <v>0</v>
      </c>
      <c r="T40" s="836"/>
      <c r="V40" s="842"/>
      <c r="X40" s="832"/>
      <c r="Y40" s="832"/>
      <c r="AI40" s="837"/>
      <c r="AJ40" s="832"/>
    </row>
    <row r="41" spans="1:36" ht="24" x14ac:dyDescent="0.2">
      <c r="A41" s="2">
        <v>31</v>
      </c>
      <c r="B41" s="413" t="s">
        <v>75</v>
      </c>
      <c r="C41" s="446" t="s">
        <v>76</v>
      </c>
      <c r="D41" s="840">
        <f t="shared" si="5"/>
        <v>13394</v>
      </c>
      <c r="E41" s="840">
        <f t="shared" si="7"/>
        <v>554</v>
      </c>
      <c r="F41" s="840">
        <v>554</v>
      </c>
      <c r="G41" s="840">
        <v>0</v>
      </c>
      <c r="H41" s="830">
        <f t="shared" si="6"/>
        <v>3616</v>
      </c>
      <c r="I41" s="840">
        <v>3616</v>
      </c>
      <c r="J41" s="840">
        <v>0</v>
      </c>
      <c r="K41" s="840">
        <f t="shared" si="3"/>
        <v>9224</v>
      </c>
      <c r="L41" s="841">
        <v>915</v>
      </c>
      <c r="M41" s="841">
        <v>81</v>
      </c>
      <c r="N41" s="841">
        <v>1051</v>
      </c>
      <c r="O41" s="841">
        <v>5666</v>
      </c>
      <c r="P41" s="841">
        <v>300</v>
      </c>
      <c r="Q41" s="841">
        <v>1211</v>
      </c>
      <c r="R41" s="841">
        <v>0</v>
      </c>
      <c r="S41" s="841">
        <v>156</v>
      </c>
      <c r="T41" s="836"/>
      <c r="V41" s="842"/>
      <c r="X41" s="832"/>
      <c r="Y41" s="832"/>
      <c r="AI41" s="837"/>
      <c r="AJ41" s="832"/>
    </row>
    <row r="42" spans="1:36" x14ac:dyDescent="0.2">
      <c r="A42" s="443">
        <v>32</v>
      </c>
      <c r="B42" s="445" t="s">
        <v>77</v>
      </c>
      <c r="C42" s="444" t="s">
        <v>78</v>
      </c>
      <c r="D42" s="840">
        <f t="shared" si="5"/>
        <v>202332</v>
      </c>
      <c r="E42" s="840">
        <f t="shared" si="7"/>
        <v>19781</v>
      </c>
      <c r="F42" s="840">
        <v>4212</v>
      </c>
      <c r="G42" s="840">
        <v>15569</v>
      </c>
      <c r="H42" s="830">
        <f t="shared" si="6"/>
        <v>27782</v>
      </c>
      <c r="I42" s="840">
        <v>27487</v>
      </c>
      <c r="J42" s="840">
        <v>295</v>
      </c>
      <c r="K42" s="840">
        <f t="shared" si="3"/>
        <v>154769</v>
      </c>
      <c r="L42" s="841">
        <v>6954</v>
      </c>
      <c r="M42" s="841">
        <v>336</v>
      </c>
      <c r="N42" s="841">
        <v>21148</v>
      </c>
      <c r="O42" s="841">
        <v>48445</v>
      </c>
      <c r="P42" s="841">
        <v>12060</v>
      </c>
      <c r="Q42" s="841">
        <v>64975</v>
      </c>
      <c r="R42" s="841">
        <v>851</v>
      </c>
      <c r="S42" s="841">
        <v>18204</v>
      </c>
      <c r="T42" s="836"/>
      <c r="V42" s="842"/>
      <c r="X42" s="832"/>
      <c r="Y42" s="832"/>
      <c r="AI42" s="837"/>
      <c r="AJ42" s="832"/>
    </row>
    <row r="43" spans="1:36" x14ac:dyDescent="0.2">
      <c r="A43" s="2">
        <v>33</v>
      </c>
      <c r="B43" s="447" t="s">
        <v>79</v>
      </c>
      <c r="C43" s="448" t="s">
        <v>80</v>
      </c>
      <c r="D43" s="840">
        <f t="shared" si="5"/>
        <v>298340</v>
      </c>
      <c r="E43" s="840">
        <f t="shared" si="7"/>
        <v>32349</v>
      </c>
      <c r="F43" s="840">
        <v>5971</v>
      </c>
      <c r="G43" s="840">
        <v>26378</v>
      </c>
      <c r="H43" s="830">
        <f t="shared" si="6"/>
        <v>39254</v>
      </c>
      <c r="I43" s="840">
        <v>38964</v>
      </c>
      <c r="J43" s="840">
        <v>290</v>
      </c>
      <c r="K43" s="840">
        <f t="shared" si="3"/>
        <v>226737</v>
      </c>
      <c r="L43" s="841">
        <v>9858</v>
      </c>
      <c r="M43" s="841">
        <v>297</v>
      </c>
      <c r="N43" s="841">
        <v>44023</v>
      </c>
      <c r="O43" s="841">
        <v>71715</v>
      </c>
      <c r="P43" s="841">
        <v>22540</v>
      </c>
      <c r="Q43" s="841">
        <v>76579</v>
      </c>
      <c r="R43" s="841">
        <v>1725</v>
      </c>
      <c r="S43" s="841">
        <v>26101</v>
      </c>
      <c r="T43" s="836"/>
      <c r="V43" s="842"/>
      <c r="X43" s="832"/>
      <c r="Y43" s="832"/>
      <c r="AI43" s="837"/>
      <c r="AJ43" s="832"/>
    </row>
    <row r="44" spans="1:36" x14ac:dyDescent="0.2">
      <c r="A44" s="443">
        <v>34</v>
      </c>
      <c r="B44" s="445" t="s">
        <v>81</v>
      </c>
      <c r="C44" s="444" t="s">
        <v>82</v>
      </c>
      <c r="D44" s="840">
        <f t="shared" si="5"/>
        <v>56286</v>
      </c>
      <c r="E44" s="840">
        <f t="shared" si="7"/>
        <v>6523</v>
      </c>
      <c r="F44" s="840">
        <v>1184</v>
      </c>
      <c r="G44" s="840">
        <v>5339</v>
      </c>
      <c r="H44" s="830">
        <f t="shared" si="6"/>
        <v>7757</v>
      </c>
      <c r="I44" s="840">
        <v>7727</v>
      </c>
      <c r="J44" s="840">
        <v>30</v>
      </c>
      <c r="K44" s="840">
        <f t="shared" si="3"/>
        <v>42006</v>
      </c>
      <c r="L44" s="841">
        <v>1955</v>
      </c>
      <c r="M44" s="841">
        <v>183</v>
      </c>
      <c r="N44" s="841">
        <v>5060</v>
      </c>
      <c r="O44" s="841">
        <v>12837</v>
      </c>
      <c r="P44" s="841">
        <v>7025</v>
      </c>
      <c r="Q44" s="841">
        <v>14944</v>
      </c>
      <c r="R44" s="841">
        <v>2</v>
      </c>
      <c r="S44" s="841">
        <v>4276</v>
      </c>
      <c r="T44" s="836"/>
      <c r="V44" s="842"/>
      <c r="X44" s="832"/>
      <c r="Y44" s="832"/>
      <c r="AI44" s="837"/>
      <c r="AJ44" s="832"/>
    </row>
    <row r="45" spans="1:36" x14ac:dyDescent="0.2">
      <c r="A45" s="2">
        <v>35</v>
      </c>
      <c r="B45" s="413" t="s">
        <v>83</v>
      </c>
      <c r="C45" s="446" t="s">
        <v>84</v>
      </c>
      <c r="D45" s="840">
        <f t="shared" si="5"/>
        <v>195037</v>
      </c>
      <c r="E45" s="840">
        <f t="shared" si="7"/>
        <v>20748</v>
      </c>
      <c r="F45" s="840">
        <v>4048</v>
      </c>
      <c r="G45" s="840">
        <v>16700</v>
      </c>
      <c r="H45" s="830">
        <f t="shared" si="6"/>
        <v>26696</v>
      </c>
      <c r="I45" s="840">
        <v>26417</v>
      </c>
      <c r="J45" s="840">
        <v>279</v>
      </c>
      <c r="K45" s="840">
        <f t="shared" si="3"/>
        <v>147593</v>
      </c>
      <c r="L45" s="841">
        <v>6684</v>
      </c>
      <c r="M45" s="841">
        <v>318</v>
      </c>
      <c r="N45" s="841">
        <v>25961</v>
      </c>
      <c r="O45" s="841">
        <v>37226</v>
      </c>
      <c r="P45" s="841">
        <v>34180</v>
      </c>
      <c r="Q45" s="841">
        <v>42168</v>
      </c>
      <c r="R45" s="841">
        <v>1056</v>
      </c>
      <c r="S45" s="841">
        <v>16198</v>
      </c>
      <c r="T45" s="836"/>
      <c r="V45" s="842"/>
      <c r="X45" s="832"/>
      <c r="Y45" s="832"/>
      <c r="AI45" s="837"/>
      <c r="AJ45" s="832"/>
    </row>
    <row r="46" spans="1:36" ht="24" x14ac:dyDescent="0.2">
      <c r="A46" s="443">
        <v>36</v>
      </c>
      <c r="B46" s="445" t="s">
        <v>85</v>
      </c>
      <c r="C46" s="444" t="s">
        <v>86</v>
      </c>
      <c r="D46" s="840">
        <f t="shared" si="5"/>
        <v>74608</v>
      </c>
      <c r="E46" s="840">
        <f t="shared" si="7"/>
        <v>8720</v>
      </c>
      <c r="F46" s="840">
        <v>1546</v>
      </c>
      <c r="G46" s="840">
        <v>7174</v>
      </c>
      <c r="H46" s="830">
        <f t="shared" si="6"/>
        <v>10171</v>
      </c>
      <c r="I46" s="840">
        <v>10086</v>
      </c>
      <c r="J46" s="840">
        <v>85</v>
      </c>
      <c r="K46" s="840">
        <f t="shared" si="3"/>
        <v>55717</v>
      </c>
      <c r="L46" s="841">
        <v>2552</v>
      </c>
      <c r="M46" s="841">
        <v>480</v>
      </c>
      <c r="N46" s="841">
        <v>8655</v>
      </c>
      <c r="O46" s="841">
        <v>23286</v>
      </c>
      <c r="P46" s="841">
        <v>7791</v>
      </c>
      <c r="Q46" s="841">
        <v>11943</v>
      </c>
      <c r="R46" s="841">
        <v>1010</v>
      </c>
      <c r="S46" s="841">
        <v>6751</v>
      </c>
      <c r="T46" s="836"/>
      <c r="V46" s="842"/>
      <c r="X46" s="832"/>
      <c r="Y46" s="832"/>
      <c r="AI46" s="837"/>
      <c r="AJ46" s="832"/>
    </row>
    <row r="47" spans="1:36" x14ac:dyDescent="0.2">
      <c r="A47" s="2">
        <v>37</v>
      </c>
      <c r="B47" s="415" t="s">
        <v>87</v>
      </c>
      <c r="C47" s="444" t="s">
        <v>88</v>
      </c>
      <c r="D47" s="840">
        <f t="shared" si="5"/>
        <v>192311</v>
      </c>
      <c r="E47" s="840">
        <f t="shared" si="7"/>
        <v>21545</v>
      </c>
      <c r="F47" s="840">
        <v>4045</v>
      </c>
      <c r="G47" s="840">
        <v>17500</v>
      </c>
      <c r="H47" s="830">
        <f t="shared" si="6"/>
        <v>26698</v>
      </c>
      <c r="I47" s="840">
        <v>26395</v>
      </c>
      <c r="J47" s="840">
        <v>303</v>
      </c>
      <c r="K47" s="840">
        <f t="shared" si="3"/>
        <v>144068</v>
      </c>
      <c r="L47" s="841">
        <v>6678</v>
      </c>
      <c r="M47" s="841">
        <v>321</v>
      </c>
      <c r="N47" s="841">
        <v>22051</v>
      </c>
      <c r="O47" s="841">
        <v>65782</v>
      </c>
      <c r="P47" s="841">
        <v>6000</v>
      </c>
      <c r="Q47" s="841">
        <v>42021</v>
      </c>
      <c r="R47" s="841">
        <v>1215</v>
      </c>
      <c r="S47" s="841">
        <v>30682</v>
      </c>
      <c r="T47" s="836"/>
      <c r="V47" s="842"/>
      <c r="X47" s="832"/>
      <c r="Y47" s="832"/>
      <c r="AI47" s="837"/>
      <c r="AJ47" s="832"/>
    </row>
    <row r="48" spans="1:36" x14ac:dyDescent="0.2">
      <c r="A48" s="443">
        <v>38</v>
      </c>
      <c r="B48" s="449" t="s">
        <v>89</v>
      </c>
      <c r="C48" s="450" t="s">
        <v>90</v>
      </c>
      <c r="D48" s="840">
        <f t="shared" si="5"/>
        <v>66401</v>
      </c>
      <c r="E48" s="840">
        <f t="shared" si="7"/>
        <v>7260</v>
      </c>
      <c r="F48" s="840">
        <v>1420</v>
      </c>
      <c r="G48" s="840">
        <v>5840</v>
      </c>
      <c r="H48" s="830">
        <f t="shared" si="6"/>
        <v>9310</v>
      </c>
      <c r="I48" s="840">
        <v>9267</v>
      </c>
      <c r="J48" s="840">
        <v>43</v>
      </c>
      <c r="K48" s="840">
        <f t="shared" si="3"/>
        <v>49831</v>
      </c>
      <c r="L48" s="841">
        <v>2345</v>
      </c>
      <c r="M48" s="841">
        <v>93</v>
      </c>
      <c r="N48" s="841">
        <v>7860</v>
      </c>
      <c r="O48" s="841">
        <v>11721</v>
      </c>
      <c r="P48" s="841">
        <v>8350</v>
      </c>
      <c r="Q48" s="841">
        <v>19016</v>
      </c>
      <c r="R48" s="841">
        <v>446</v>
      </c>
      <c r="S48" s="841">
        <v>6892</v>
      </c>
      <c r="T48" s="836"/>
      <c r="V48" s="842"/>
      <c r="X48" s="832"/>
      <c r="Y48" s="832"/>
      <c r="AI48" s="837"/>
      <c r="AJ48" s="832"/>
    </row>
    <row r="49" spans="1:36" ht="24" x14ac:dyDescent="0.2">
      <c r="A49" s="2">
        <v>39</v>
      </c>
      <c r="B49" s="415" t="s">
        <v>91</v>
      </c>
      <c r="C49" s="444" t="s">
        <v>92</v>
      </c>
      <c r="D49" s="840">
        <f t="shared" si="5"/>
        <v>40305</v>
      </c>
      <c r="E49" s="840">
        <f t="shared" si="7"/>
        <v>3896</v>
      </c>
      <c r="F49" s="840">
        <v>917</v>
      </c>
      <c r="G49" s="840">
        <v>2979</v>
      </c>
      <c r="H49" s="830">
        <f t="shared" si="6"/>
        <v>6116</v>
      </c>
      <c r="I49" s="840">
        <v>5981</v>
      </c>
      <c r="J49" s="840">
        <v>135</v>
      </c>
      <c r="K49" s="840">
        <f t="shared" si="3"/>
        <v>30293</v>
      </c>
      <c r="L49" s="841">
        <v>1513</v>
      </c>
      <c r="M49" s="841">
        <v>141</v>
      </c>
      <c r="N49" s="841">
        <v>5072</v>
      </c>
      <c r="O49" s="841">
        <v>9052</v>
      </c>
      <c r="P49" s="841">
        <v>2400</v>
      </c>
      <c r="Q49" s="841">
        <v>12114</v>
      </c>
      <c r="R49" s="841">
        <v>1</v>
      </c>
      <c r="S49" s="841">
        <v>7075</v>
      </c>
      <c r="T49" s="836"/>
      <c r="V49" s="842"/>
      <c r="X49" s="832"/>
      <c r="Y49" s="832"/>
      <c r="AI49" s="837"/>
      <c r="AJ49" s="832"/>
    </row>
    <row r="50" spans="1:36" x14ac:dyDescent="0.2">
      <c r="A50" s="443">
        <v>40</v>
      </c>
      <c r="B50" s="447" t="s">
        <v>93</v>
      </c>
      <c r="C50" s="448" t="s">
        <v>94</v>
      </c>
      <c r="D50" s="840">
        <f t="shared" si="5"/>
        <v>71375</v>
      </c>
      <c r="E50" s="840">
        <f t="shared" si="7"/>
        <v>7114</v>
      </c>
      <c r="F50" s="840">
        <v>1611</v>
      </c>
      <c r="G50" s="840">
        <v>5503</v>
      </c>
      <c r="H50" s="830">
        <f t="shared" si="6"/>
        <v>10608</v>
      </c>
      <c r="I50" s="840">
        <v>10511</v>
      </c>
      <c r="J50" s="840">
        <v>97</v>
      </c>
      <c r="K50" s="840">
        <f t="shared" si="3"/>
        <v>53653</v>
      </c>
      <c r="L50" s="841">
        <v>2659</v>
      </c>
      <c r="M50" s="841">
        <v>204</v>
      </c>
      <c r="N50" s="841">
        <v>15379</v>
      </c>
      <c r="O50" s="841">
        <v>17613</v>
      </c>
      <c r="P50" s="841">
        <v>1400</v>
      </c>
      <c r="Q50" s="841">
        <v>16396</v>
      </c>
      <c r="R50" s="841">
        <v>2</v>
      </c>
      <c r="S50" s="841">
        <v>11151</v>
      </c>
      <c r="T50" s="836"/>
      <c r="V50" s="842"/>
      <c r="X50" s="832"/>
      <c r="Y50" s="832"/>
      <c r="AI50" s="837"/>
      <c r="AJ50" s="832"/>
    </row>
    <row r="51" spans="1:36" x14ac:dyDescent="0.2">
      <c r="A51" s="2">
        <v>41</v>
      </c>
      <c r="B51" s="413" t="s">
        <v>95</v>
      </c>
      <c r="C51" s="446" t="s">
        <v>96</v>
      </c>
      <c r="D51" s="840">
        <f t="shared" si="5"/>
        <v>32476</v>
      </c>
      <c r="E51" s="840">
        <f t="shared" si="7"/>
        <v>2879</v>
      </c>
      <c r="F51" s="840">
        <v>767</v>
      </c>
      <c r="G51" s="840">
        <v>2112</v>
      </c>
      <c r="H51" s="830">
        <f t="shared" si="6"/>
        <v>5065</v>
      </c>
      <c r="I51" s="840">
        <v>5005</v>
      </c>
      <c r="J51" s="840">
        <v>60</v>
      </c>
      <c r="K51" s="840">
        <f t="shared" si="3"/>
        <v>24532</v>
      </c>
      <c r="L51" s="841">
        <v>1266</v>
      </c>
      <c r="M51" s="841">
        <v>81</v>
      </c>
      <c r="N51" s="841">
        <v>4501</v>
      </c>
      <c r="O51" s="841">
        <v>7628</v>
      </c>
      <c r="P51" s="841">
        <v>4032</v>
      </c>
      <c r="Q51" s="841">
        <v>7023</v>
      </c>
      <c r="R51" s="841">
        <v>1</v>
      </c>
      <c r="S51" s="841">
        <v>4778</v>
      </c>
      <c r="T51" s="836"/>
      <c r="V51" s="842"/>
      <c r="X51" s="832"/>
      <c r="Y51" s="832"/>
      <c r="AI51" s="837"/>
      <c r="AJ51" s="832"/>
    </row>
    <row r="52" spans="1:36" x14ac:dyDescent="0.2">
      <c r="A52" s="443">
        <v>42</v>
      </c>
      <c r="B52" s="445" t="s">
        <v>97</v>
      </c>
      <c r="C52" s="444" t="s">
        <v>98</v>
      </c>
      <c r="D52" s="840">
        <f t="shared" si="5"/>
        <v>26710</v>
      </c>
      <c r="E52" s="840">
        <f t="shared" si="7"/>
        <v>1091</v>
      </c>
      <c r="F52" s="840">
        <v>1091</v>
      </c>
      <c r="G52" s="840">
        <v>0</v>
      </c>
      <c r="H52" s="830">
        <f t="shared" si="6"/>
        <v>7119</v>
      </c>
      <c r="I52" s="840">
        <v>7119</v>
      </c>
      <c r="J52" s="840">
        <v>0</v>
      </c>
      <c r="K52" s="840">
        <f t="shared" si="3"/>
        <v>18500</v>
      </c>
      <c r="L52" s="841">
        <v>1801</v>
      </c>
      <c r="M52" s="841">
        <v>618</v>
      </c>
      <c r="N52" s="841">
        <v>3669</v>
      </c>
      <c r="O52" s="841">
        <v>9262</v>
      </c>
      <c r="P52" s="841">
        <v>0</v>
      </c>
      <c r="Q52" s="841">
        <v>3150</v>
      </c>
      <c r="R52" s="841">
        <v>0</v>
      </c>
      <c r="S52" s="841">
        <v>1380</v>
      </c>
      <c r="T52" s="836"/>
      <c r="V52" s="842"/>
      <c r="X52" s="832"/>
      <c r="Y52" s="832"/>
      <c r="AI52" s="837"/>
      <c r="AJ52" s="832"/>
    </row>
    <row r="53" spans="1:36" ht="24" x14ac:dyDescent="0.2">
      <c r="A53" s="2">
        <v>43</v>
      </c>
      <c r="B53" s="413" t="s">
        <v>99</v>
      </c>
      <c r="C53" s="446" t="s">
        <v>100</v>
      </c>
      <c r="D53" s="840">
        <f t="shared" si="5"/>
        <v>271038</v>
      </c>
      <c r="E53" s="840">
        <f t="shared" si="7"/>
        <v>28442</v>
      </c>
      <c r="F53" s="840">
        <v>5112</v>
      </c>
      <c r="G53" s="840">
        <v>23330</v>
      </c>
      <c r="H53" s="830">
        <f t="shared" si="6"/>
        <v>33708</v>
      </c>
      <c r="I53" s="840">
        <v>33357</v>
      </c>
      <c r="J53" s="840">
        <v>351</v>
      </c>
      <c r="K53" s="840">
        <f t="shared" si="3"/>
        <v>208888</v>
      </c>
      <c r="L53" s="841">
        <v>8439</v>
      </c>
      <c r="M53" s="841">
        <v>750</v>
      </c>
      <c r="N53" s="841">
        <v>26876</v>
      </c>
      <c r="O53" s="841">
        <v>70724</v>
      </c>
      <c r="P53" s="841">
        <v>19718</v>
      </c>
      <c r="Q53" s="841">
        <v>82024</v>
      </c>
      <c r="R53" s="841">
        <v>357</v>
      </c>
      <c r="S53" s="841">
        <v>30550</v>
      </c>
      <c r="T53" s="836"/>
      <c r="V53" s="842"/>
      <c r="X53" s="832"/>
      <c r="Y53" s="832"/>
      <c r="AI53" s="837"/>
      <c r="AJ53" s="832"/>
    </row>
    <row r="54" spans="1:36" x14ac:dyDescent="0.2">
      <c r="A54" s="443">
        <v>44</v>
      </c>
      <c r="B54" s="415" t="s">
        <v>101</v>
      </c>
      <c r="C54" s="444" t="s">
        <v>102</v>
      </c>
      <c r="D54" s="840">
        <f t="shared" si="5"/>
        <v>59555</v>
      </c>
      <c r="E54" s="840">
        <f t="shared" si="7"/>
        <v>5953</v>
      </c>
      <c r="F54" s="840">
        <v>1333</v>
      </c>
      <c r="G54" s="840">
        <v>4620</v>
      </c>
      <c r="H54" s="830">
        <f t="shared" si="6"/>
        <v>8816</v>
      </c>
      <c r="I54" s="840">
        <v>8701</v>
      </c>
      <c r="J54" s="840">
        <v>115</v>
      </c>
      <c r="K54" s="840">
        <f t="shared" si="3"/>
        <v>44786</v>
      </c>
      <c r="L54" s="841">
        <v>2201</v>
      </c>
      <c r="M54" s="841">
        <v>162</v>
      </c>
      <c r="N54" s="841">
        <v>9160</v>
      </c>
      <c r="O54" s="841">
        <v>16456</v>
      </c>
      <c r="P54" s="841">
        <v>7396</v>
      </c>
      <c r="Q54" s="841">
        <v>9407</v>
      </c>
      <c r="R54" s="841">
        <v>4</v>
      </c>
      <c r="S54" s="841">
        <v>7669</v>
      </c>
      <c r="T54" s="836"/>
      <c r="V54" s="842"/>
      <c r="X54" s="832"/>
      <c r="Y54" s="832"/>
      <c r="AI54" s="837"/>
      <c r="AJ54" s="832"/>
    </row>
    <row r="55" spans="1:36" x14ac:dyDescent="0.2">
      <c r="A55" s="2">
        <v>45</v>
      </c>
      <c r="B55" s="415" t="s">
        <v>103</v>
      </c>
      <c r="C55" s="444" t="s">
        <v>104</v>
      </c>
      <c r="D55" s="840">
        <f t="shared" si="5"/>
        <v>205129</v>
      </c>
      <c r="E55" s="840">
        <f t="shared" si="7"/>
        <v>21606</v>
      </c>
      <c r="F55" s="840">
        <v>4353</v>
      </c>
      <c r="G55" s="840">
        <v>17253</v>
      </c>
      <c r="H55" s="830">
        <f t="shared" si="6"/>
        <v>28566</v>
      </c>
      <c r="I55" s="840">
        <v>28405</v>
      </c>
      <c r="J55" s="840">
        <v>161</v>
      </c>
      <c r="K55" s="840">
        <f t="shared" si="3"/>
        <v>154957</v>
      </c>
      <c r="L55" s="841">
        <v>7186</v>
      </c>
      <c r="M55" s="841">
        <v>822</v>
      </c>
      <c r="N55" s="841">
        <v>13589</v>
      </c>
      <c r="O55" s="841">
        <v>71509</v>
      </c>
      <c r="P55" s="841">
        <v>5084</v>
      </c>
      <c r="Q55" s="841">
        <v>55068</v>
      </c>
      <c r="R55" s="841">
        <v>1699</v>
      </c>
      <c r="S55" s="841">
        <v>11826</v>
      </c>
      <c r="T55" s="836"/>
      <c r="V55" s="842"/>
      <c r="X55" s="832"/>
      <c r="Y55" s="832"/>
      <c r="AI55" s="837"/>
      <c r="AJ55" s="832"/>
    </row>
    <row r="56" spans="1:36" x14ac:dyDescent="0.2">
      <c r="A56" s="443">
        <v>46</v>
      </c>
      <c r="B56" s="413" t="s">
        <v>105</v>
      </c>
      <c r="C56" s="446" t="s">
        <v>106</v>
      </c>
      <c r="D56" s="840">
        <f t="shared" si="5"/>
        <v>45435</v>
      </c>
      <c r="E56" s="840">
        <f t="shared" si="7"/>
        <v>5026</v>
      </c>
      <c r="F56" s="840">
        <v>996</v>
      </c>
      <c r="G56" s="840">
        <v>4030</v>
      </c>
      <c r="H56" s="830">
        <f t="shared" si="6"/>
        <v>6662</v>
      </c>
      <c r="I56" s="840">
        <v>6501</v>
      </c>
      <c r="J56" s="840">
        <v>161</v>
      </c>
      <c r="K56" s="840">
        <f t="shared" si="3"/>
        <v>33747</v>
      </c>
      <c r="L56" s="841">
        <v>1645</v>
      </c>
      <c r="M56" s="841">
        <v>216</v>
      </c>
      <c r="N56" s="841">
        <v>5263</v>
      </c>
      <c r="O56" s="841">
        <v>11768</v>
      </c>
      <c r="P56" s="841">
        <v>2742</v>
      </c>
      <c r="Q56" s="841">
        <v>12112</v>
      </c>
      <c r="R56" s="841">
        <v>1</v>
      </c>
      <c r="S56" s="841">
        <v>6876</v>
      </c>
      <c r="T56" s="836"/>
      <c r="V56" s="842"/>
      <c r="X56" s="832"/>
      <c r="Y56" s="832"/>
      <c r="AI56" s="837"/>
      <c r="AJ56" s="832"/>
    </row>
    <row r="57" spans="1:36" ht="24" x14ac:dyDescent="0.2">
      <c r="A57" s="2">
        <v>47</v>
      </c>
      <c r="B57" s="413" t="s">
        <v>107</v>
      </c>
      <c r="C57" s="446" t="s">
        <v>108</v>
      </c>
      <c r="D57" s="840">
        <f t="shared" si="5"/>
        <v>70618</v>
      </c>
      <c r="E57" s="840">
        <f t="shared" si="7"/>
        <v>7616</v>
      </c>
      <c r="F57" s="840">
        <v>1540</v>
      </c>
      <c r="G57" s="840">
        <v>6076</v>
      </c>
      <c r="H57" s="830">
        <f t="shared" si="6"/>
        <v>10205</v>
      </c>
      <c r="I57" s="840">
        <v>10050</v>
      </c>
      <c r="J57" s="840">
        <v>155</v>
      </c>
      <c r="K57" s="840">
        <f t="shared" si="3"/>
        <v>52797</v>
      </c>
      <c r="L57" s="841">
        <v>2543</v>
      </c>
      <c r="M57" s="841">
        <v>474</v>
      </c>
      <c r="N57" s="841">
        <v>13597</v>
      </c>
      <c r="O57" s="841">
        <v>14490</v>
      </c>
      <c r="P57" s="841">
        <v>150</v>
      </c>
      <c r="Q57" s="841">
        <v>21540</v>
      </c>
      <c r="R57" s="841">
        <v>3</v>
      </c>
      <c r="S57" s="841">
        <v>10643</v>
      </c>
      <c r="T57" s="836"/>
      <c r="V57" s="842"/>
      <c r="X57" s="832"/>
      <c r="Y57" s="832"/>
      <c r="AI57" s="837"/>
      <c r="AJ57" s="832"/>
    </row>
    <row r="58" spans="1:36" ht="24" x14ac:dyDescent="0.2">
      <c r="A58" s="443">
        <v>48</v>
      </c>
      <c r="B58" s="445" t="s">
        <v>109</v>
      </c>
      <c r="C58" s="444" t="s">
        <v>110</v>
      </c>
      <c r="D58" s="840">
        <f t="shared" si="5"/>
        <v>85536</v>
      </c>
      <c r="E58" s="840">
        <f t="shared" si="7"/>
        <v>9462</v>
      </c>
      <c r="F58" s="840">
        <v>1828</v>
      </c>
      <c r="G58" s="840">
        <v>7634</v>
      </c>
      <c r="H58" s="830">
        <f t="shared" si="6"/>
        <v>12027</v>
      </c>
      <c r="I58" s="840">
        <v>11927</v>
      </c>
      <c r="J58" s="840">
        <v>100</v>
      </c>
      <c r="K58" s="840">
        <f t="shared" si="3"/>
        <v>64047</v>
      </c>
      <c r="L58" s="841">
        <v>3018</v>
      </c>
      <c r="M58" s="841">
        <v>339</v>
      </c>
      <c r="N58" s="841">
        <v>11622</v>
      </c>
      <c r="O58" s="841">
        <v>36780</v>
      </c>
      <c r="P58" s="841">
        <v>0</v>
      </c>
      <c r="Q58" s="841">
        <v>12282</v>
      </c>
      <c r="R58" s="841">
        <v>6</v>
      </c>
      <c r="S58" s="841">
        <v>10150</v>
      </c>
      <c r="T58" s="836"/>
      <c r="V58" s="842"/>
      <c r="X58" s="832"/>
      <c r="Y58" s="832"/>
      <c r="AI58" s="837"/>
      <c r="AJ58" s="832"/>
    </row>
    <row r="59" spans="1:36" x14ac:dyDescent="0.2">
      <c r="A59" s="2">
        <v>49</v>
      </c>
      <c r="B59" s="413" t="s">
        <v>111</v>
      </c>
      <c r="C59" s="446" t="s">
        <v>112</v>
      </c>
      <c r="D59" s="840">
        <f t="shared" si="5"/>
        <v>28468</v>
      </c>
      <c r="E59" s="840">
        <f t="shared" si="7"/>
        <v>2657</v>
      </c>
      <c r="F59" s="840">
        <v>658</v>
      </c>
      <c r="G59" s="840">
        <v>1999</v>
      </c>
      <c r="H59" s="830">
        <f t="shared" si="6"/>
        <v>4330</v>
      </c>
      <c r="I59" s="840">
        <v>4291</v>
      </c>
      <c r="J59" s="840">
        <v>39</v>
      </c>
      <c r="K59" s="840">
        <f t="shared" si="3"/>
        <v>21481</v>
      </c>
      <c r="L59" s="841">
        <v>1086</v>
      </c>
      <c r="M59" s="841">
        <v>162</v>
      </c>
      <c r="N59" s="841">
        <v>6576</v>
      </c>
      <c r="O59" s="841">
        <v>4066</v>
      </c>
      <c r="P59" s="841">
        <v>317</v>
      </c>
      <c r="Q59" s="841">
        <v>9273</v>
      </c>
      <c r="R59" s="841">
        <v>1</v>
      </c>
      <c r="S59" s="841">
        <v>3976</v>
      </c>
      <c r="T59" s="836"/>
      <c r="V59" s="842"/>
      <c r="X59" s="832"/>
      <c r="Y59" s="832"/>
      <c r="AI59" s="837"/>
      <c r="AJ59" s="832"/>
    </row>
    <row r="60" spans="1:36" x14ac:dyDescent="0.2">
      <c r="A60" s="443">
        <v>50</v>
      </c>
      <c r="B60" s="445" t="s">
        <v>113</v>
      </c>
      <c r="C60" s="444" t="s">
        <v>114</v>
      </c>
      <c r="D60" s="840">
        <f t="shared" si="5"/>
        <v>58748</v>
      </c>
      <c r="E60" s="840">
        <f t="shared" si="7"/>
        <v>6232</v>
      </c>
      <c r="F60" s="840">
        <v>1242</v>
      </c>
      <c r="G60" s="840">
        <v>4990</v>
      </c>
      <c r="H60" s="830">
        <f t="shared" si="6"/>
        <v>8122</v>
      </c>
      <c r="I60" s="840">
        <v>8102</v>
      </c>
      <c r="J60" s="840">
        <v>20</v>
      </c>
      <c r="K60" s="840">
        <f t="shared" si="3"/>
        <v>44394</v>
      </c>
      <c r="L60" s="841">
        <v>2050</v>
      </c>
      <c r="M60" s="841">
        <v>306</v>
      </c>
      <c r="N60" s="841">
        <v>8420</v>
      </c>
      <c r="O60" s="841">
        <v>15900</v>
      </c>
      <c r="P60" s="841">
        <v>4940</v>
      </c>
      <c r="Q60" s="841">
        <v>12071</v>
      </c>
      <c r="R60" s="841">
        <v>707</v>
      </c>
      <c r="S60" s="841">
        <v>5429</v>
      </c>
      <c r="T60" s="836"/>
      <c r="V60" s="842"/>
      <c r="X60" s="832"/>
      <c r="Y60" s="832"/>
      <c r="AI60" s="837"/>
      <c r="AJ60" s="832"/>
    </row>
    <row r="61" spans="1:36" x14ac:dyDescent="0.2">
      <c r="A61" s="2">
        <v>51</v>
      </c>
      <c r="B61" s="413" t="s">
        <v>115</v>
      </c>
      <c r="C61" s="446" t="s">
        <v>116</v>
      </c>
      <c r="D61" s="840">
        <f t="shared" si="5"/>
        <v>85392</v>
      </c>
      <c r="E61" s="840">
        <f t="shared" si="7"/>
        <v>9143</v>
      </c>
      <c r="F61" s="840">
        <v>1871</v>
      </c>
      <c r="G61" s="840">
        <v>7272</v>
      </c>
      <c r="H61" s="830">
        <f t="shared" si="6"/>
        <v>12278</v>
      </c>
      <c r="I61" s="840">
        <v>12211</v>
      </c>
      <c r="J61" s="840">
        <v>67</v>
      </c>
      <c r="K61" s="840">
        <f t="shared" si="3"/>
        <v>63971</v>
      </c>
      <c r="L61" s="841">
        <v>3089</v>
      </c>
      <c r="M61" s="841">
        <v>579</v>
      </c>
      <c r="N61" s="841">
        <v>16764</v>
      </c>
      <c r="O61" s="841">
        <v>16099</v>
      </c>
      <c r="P61" s="841">
        <v>3360</v>
      </c>
      <c r="Q61" s="841">
        <v>24077</v>
      </c>
      <c r="R61" s="841">
        <v>3</v>
      </c>
      <c r="S61" s="841">
        <v>12912</v>
      </c>
      <c r="T61" s="836"/>
      <c r="V61" s="842"/>
      <c r="X61" s="832"/>
      <c r="Y61" s="832"/>
      <c r="AI61" s="837"/>
      <c r="AJ61" s="832"/>
    </row>
    <row r="62" spans="1:36" x14ac:dyDescent="0.2">
      <c r="A62" s="443">
        <v>52</v>
      </c>
      <c r="B62" s="413" t="s">
        <v>117</v>
      </c>
      <c r="C62" s="446" t="s">
        <v>118</v>
      </c>
      <c r="D62" s="840">
        <f t="shared" si="5"/>
        <v>305187</v>
      </c>
      <c r="E62" s="840">
        <f t="shared" si="7"/>
        <v>33749</v>
      </c>
      <c r="F62" s="840">
        <v>6295</v>
      </c>
      <c r="G62" s="840">
        <v>27454</v>
      </c>
      <c r="H62" s="830">
        <f t="shared" si="6"/>
        <v>41611</v>
      </c>
      <c r="I62" s="840">
        <v>41075</v>
      </c>
      <c r="J62" s="840">
        <v>536</v>
      </c>
      <c r="K62" s="840">
        <f t="shared" si="3"/>
        <v>229827</v>
      </c>
      <c r="L62" s="841">
        <v>10392</v>
      </c>
      <c r="M62" s="841">
        <v>429</v>
      </c>
      <c r="N62" s="841">
        <v>34555</v>
      </c>
      <c r="O62" s="841">
        <v>99832</v>
      </c>
      <c r="P62" s="841">
        <v>16336</v>
      </c>
      <c r="Q62" s="841">
        <v>66434</v>
      </c>
      <c r="R62" s="841">
        <v>1849</v>
      </c>
      <c r="S62" s="841">
        <v>35668</v>
      </c>
      <c r="T62" s="836"/>
      <c r="V62" s="842"/>
      <c r="X62" s="832"/>
      <c r="Y62" s="832"/>
      <c r="AI62" s="837"/>
      <c r="AJ62" s="832"/>
    </row>
    <row r="63" spans="1:36" x14ac:dyDescent="0.2">
      <c r="A63" s="2">
        <v>53</v>
      </c>
      <c r="B63" s="413" t="s">
        <v>119</v>
      </c>
      <c r="C63" s="446" t="s">
        <v>120</v>
      </c>
      <c r="D63" s="840">
        <f t="shared" si="5"/>
        <v>46697</v>
      </c>
      <c r="E63" s="840">
        <f t="shared" si="7"/>
        <v>5041</v>
      </c>
      <c r="F63" s="840">
        <v>1040</v>
      </c>
      <c r="G63" s="840">
        <v>4001</v>
      </c>
      <c r="H63" s="830">
        <f t="shared" si="6"/>
        <v>6870</v>
      </c>
      <c r="I63" s="840">
        <v>6785</v>
      </c>
      <c r="J63" s="840">
        <v>85</v>
      </c>
      <c r="K63" s="840">
        <f t="shared" si="3"/>
        <v>34786</v>
      </c>
      <c r="L63" s="841">
        <v>1717</v>
      </c>
      <c r="M63" s="841">
        <v>117</v>
      </c>
      <c r="N63" s="841">
        <v>5891</v>
      </c>
      <c r="O63" s="841">
        <v>7472</v>
      </c>
      <c r="P63" s="841">
        <v>3951</v>
      </c>
      <c r="Q63" s="841">
        <v>15636</v>
      </c>
      <c r="R63" s="841">
        <v>2</v>
      </c>
      <c r="S63" s="841">
        <v>5969</v>
      </c>
      <c r="T63" s="836"/>
      <c r="V63" s="842"/>
      <c r="X63" s="832"/>
      <c r="Y63" s="832"/>
      <c r="AI63" s="837"/>
      <c r="AJ63" s="832"/>
    </row>
    <row r="64" spans="1:36" ht="24" x14ac:dyDescent="0.2">
      <c r="A64" s="443">
        <v>54</v>
      </c>
      <c r="B64" s="413" t="s">
        <v>121</v>
      </c>
      <c r="C64" s="446" t="s">
        <v>122</v>
      </c>
      <c r="D64" s="840">
        <f t="shared" si="5"/>
        <v>0</v>
      </c>
      <c r="E64" s="840">
        <f t="shared" si="7"/>
        <v>0</v>
      </c>
      <c r="F64" s="840">
        <v>0</v>
      </c>
      <c r="G64" s="840">
        <v>0</v>
      </c>
      <c r="H64" s="830">
        <f t="shared" si="6"/>
        <v>0</v>
      </c>
      <c r="I64" s="840">
        <v>0</v>
      </c>
      <c r="J64" s="840">
        <v>0</v>
      </c>
      <c r="K64" s="840">
        <f t="shared" si="3"/>
        <v>0</v>
      </c>
      <c r="L64" s="841">
        <v>0</v>
      </c>
      <c r="M64" s="841">
        <v>0</v>
      </c>
      <c r="N64" s="841">
        <v>0</v>
      </c>
      <c r="O64" s="841">
        <v>0</v>
      </c>
      <c r="P64" s="841">
        <v>0</v>
      </c>
      <c r="Q64" s="841">
        <v>0</v>
      </c>
      <c r="R64" s="841">
        <v>0</v>
      </c>
      <c r="S64" s="841">
        <v>0</v>
      </c>
      <c r="T64" s="836"/>
      <c r="V64" s="842"/>
      <c r="X64" s="832"/>
      <c r="Y64" s="832"/>
      <c r="AI64" s="837"/>
      <c r="AJ64" s="832"/>
    </row>
    <row r="65" spans="1:36" x14ac:dyDescent="0.2">
      <c r="A65" s="2">
        <v>55</v>
      </c>
      <c r="B65" s="413" t="s">
        <v>123</v>
      </c>
      <c r="C65" s="446" t="s">
        <v>124</v>
      </c>
      <c r="D65" s="840">
        <f t="shared" si="5"/>
        <v>0</v>
      </c>
      <c r="E65" s="840">
        <f t="shared" si="7"/>
        <v>0</v>
      </c>
      <c r="F65" s="840">
        <v>0</v>
      </c>
      <c r="G65" s="840">
        <v>0</v>
      </c>
      <c r="H65" s="830">
        <f t="shared" si="6"/>
        <v>0</v>
      </c>
      <c r="I65" s="840">
        <v>0</v>
      </c>
      <c r="J65" s="840">
        <v>0</v>
      </c>
      <c r="K65" s="840">
        <f t="shared" si="3"/>
        <v>0</v>
      </c>
      <c r="L65" s="841">
        <v>0</v>
      </c>
      <c r="M65" s="841">
        <v>0</v>
      </c>
      <c r="N65" s="841">
        <v>0</v>
      </c>
      <c r="O65" s="841">
        <v>0</v>
      </c>
      <c r="P65" s="841">
        <v>0</v>
      </c>
      <c r="Q65" s="841">
        <v>0</v>
      </c>
      <c r="R65" s="841">
        <v>0</v>
      </c>
      <c r="S65" s="841">
        <v>0</v>
      </c>
      <c r="T65" s="836"/>
      <c r="V65" s="842"/>
      <c r="X65" s="832"/>
      <c r="Y65" s="832"/>
      <c r="AI65" s="837"/>
      <c r="AJ65" s="832"/>
    </row>
    <row r="66" spans="1:36" ht="24" x14ac:dyDescent="0.2">
      <c r="A66" s="443">
        <v>56</v>
      </c>
      <c r="B66" s="823" t="s">
        <v>125</v>
      </c>
      <c r="C66" s="448" t="s">
        <v>126</v>
      </c>
      <c r="D66" s="840">
        <f t="shared" si="5"/>
        <v>0</v>
      </c>
      <c r="E66" s="840">
        <f t="shared" si="7"/>
        <v>0</v>
      </c>
      <c r="F66" s="840">
        <v>0</v>
      </c>
      <c r="G66" s="840">
        <v>0</v>
      </c>
      <c r="H66" s="830">
        <f t="shared" si="6"/>
        <v>0</v>
      </c>
      <c r="I66" s="840">
        <v>0</v>
      </c>
      <c r="J66" s="840">
        <v>0</v>
      </c>
      <c r="K66" s="840">
        <f t="shared" si="3"/>
        <v>0</v>
      </c>
      <c r="L66" s="841">
        <v>0</v>
      </c>
      <c r="M66" s="841">
        <v>0</v>
      </c>
      <c r="N66" s="841">
        <v>0</v>
      </c>
      <c r="O66" s="841">
        <v>0</v>
      </c>
      <c r="P66" s="841">
        <v>0</v>
      </c>
      <c r="Q66" s="841">
        <v>0</v>
      </c>
      <c r="R66" s="841">
        <v>0</v>
      </c>
      <c r="S66" s="841">
        <v>0</v>
      </c>
      <c r="T66" s="836"/>
      <c r="V66" s="842"/>
      <c r="X66" s="832"/>
      <c r="Y66" s="832"/>
      <c r="AI66" s="837"/>
      <c r="AJ66" s="832"/>
    </row>
    <row r="67" spans="1:36" ht="24" x14ac:dyDescent="0.2">
      <c r="A67" s="2">
        <v>57</v>
      </c>
      <c r="B67" s="413" t="s">
        <v>127</v>
      </c>
      <c r="C67" s="446" t="s">
        <v>128</v>
      </c>
      <c r="D67" s="840">
        <f t="shared" si="5"/>
        <v>181295</v>
      </c>
      <c r="E67" s="840">
        <f t="shared" si="7"/>
        <v>38900</v>
      </c>
      <c r="F67" s="840">
        <v>0</v>
      </c>
      <c r="G67" s="840">
        <v>38900</v>
      </c>
      <c r="H67" s="830">
        <f t="shared" si="6"/>
        <v>230</v>
      </c>
      <c r="I67" s="840">
        <v>0</v>
      </c>
      <c r="J67" s="840">
        <v>230</v>
      </c>
      <c r="K67" s="840">
        <f t="shared" si="3"/>
        <v>142165</v>
      </c>
      <c r="L67" s="841">
        <v>0</v>
      </c>
      <c r="M67" s="841">
        <v>0</v>
      </c>
      <c r="N67" s="841">
        <v>10107</v>
      </c>
      <c r="O67" s="841">
        <v>61210</v>
      </c>
      <c r="P67" s="841">
        <v>0</v>
      </c>
      <c r="Q67" s="841">
        <v>70813</v>
      </c>
      <c r="R67" s="841">
        <v>35</v>
      </c>
      <c r="S67" s="841">
        <v>0</v>
      </c>
      <c r="T67" s="836"/>
      <c r="V67" s="842"/>
      <c r="X67" s="832"/>
      <c r="Y67" s="832"/>
      <c r="AI67" s="837"/>
      <c r="AJ67" s="832"/>
    </row>
    <row r="68" spans="1:36" ht="24" x14ac:dyDescent="0.2">
      <c r="A68" s="443">
        <v>58</v>
      </c>
      <c r="B68" s="445" t="s">
        <v>129</v>
      </c>
      <c r="C68" s="446" t="s">
        <v>130</v>
      </c>
      <c r="D68" s="840">
        <f t="shared" si="5"/>
        <v>145380</v>
      </c>
      <c r="E68" s="840">
        <f t="shared" si="7"/>
        <v>30362</v>
      </c>
      <c r="F68" s="840">
        <v>0</v>
      </c>
      <c r="G68" s="840">
        <v>30362</v>
      </c>
      <c r="H68" s="830">
        <f t="shared" si="6"/>
        <v>388</v>
      </c>
      <c r="I68" s="840">
        <v>0</v>
      </c>
      <c r="J68" s="840">
        <v>388</v>
      </c>
      <c r="K68" s="840">
        <f t="shared" si="3"/>
        <v>114630</v>
      </c>
      <c r="L68" s="841">
        <v>0</v>
      </c>
      <c r="M68" s="841">
        <v>0</v>
      </c>
      <c r="N68" s="841">
        <v>11348</v>
      </c>
      <c r="O68" s="841">
        <v>54395</v>
      </c>
      <c r="P68" s="841">
        <v>0</v>
      </c>
      <c r="Q68" s="841">
        <v>48850</v>
      </c>
      <c r="R68" s="841">
        <v>37</v>
      </c>
      <c r="S68" s="841">
        <v>0</v>
      </c>
      <c r="T68" s="836"/>
      <c r="V68" s="842"/>
      <c r="X68" s="832"/>
      <c r="Y68" s="832"/>
      <c r="AI68" s="837"/>
      <c r="AJ68" s="832"/>
    </row>
    <row r="69" spans="1:36" ht="24" x14ac:dyDescent="0.2">
      <c r="A69" s="2">
        <v>59</v>
      </c>
      <c r="B69" s="447" t="s">
        <v>131</v>
      </c>
      <c r="C69" s="448" t="s">
        <v>132</v>
      </c>
      <c r="D69" s="840">
        <f t="shared" si="5"/>
        <v>205742</v>
      </c>
      <c r="E69" s="840">
        <f t="shared" si="7"/>
        <v>44999</v>
      </c>
      <c r="F69" s="840">
        <v>0</v>
      </c>
      <c r="G69" s="840">
        <v>44999</v>
      </c>
      <c r="H69" s="830">
        <f t="shared" si="6"/>
        <v>130</v>
      </c>
      <c r="I69" s="840">
        <v>0</v>
      </c>
      <c r="J69" s="840">
        <v>130</v>
      </c>
      <c r="K69" s="840">
        <f t="shared" si="3"/>
        <v>160613</v>
      </c>
      <c r="L69" s="841">
        <v>0</v>
      </c>
      <c r="M69" s="841">
        <v>0</v>
      </c>
      <c r="N69" s="841">
        <v>26055</v>
      </c>
      <c r="O69" s="841">
        <v>71864</v>
      </c>
      <c r="P69" s="841">
        <v>1600</v>
      </c>
      <c r="Q69" s="841">
        <v>61058</v>
      </c>
      <c r="R69" s="841">
        <v>36</v>
      </c>
      <c r="S69" s="841">
        <v>0</v>
      </c>
      <c r="T69" s="836"/>
      <c r="V69" s="842"/>
      <c r="X69" s="832"/>
      <c r="Y69" s="832"/>
      <c r="AI69" s="837"/>
      <c r="AJ69" s="832"/>
    </row>
    <row r="70" spans="1:36" ht="24" x14ac:dyDescent="0.2">
      <c r="A70" s="443">
        <v>60</v>
      </c>
      <c r="B70" s="445" t="s">
        <v>133</v>
      </c>
      <c r="C70" s="446" t="s">
        <v>134</v>
      </c>
      <c r="D70" s="840">
        <f t="shared" si="5"/>
        <v>266568</v>
      </c>
      <c r="E70" s="840">
        <f t="shared" si="7"/>
        <v>54933</v>
      </c>
      <c r="F70" s="840">
        <v>0</v>
      </c>
      <c r="G70" s="840">
        <v>54933</v>
      </c>
      <c r="H70" s="830">
        <f t="shared" si="6"/>
        <v>256</v>
      </c>
      <c r="I70" s="840">
        <v>0</v>
      </c>
      <c r="J70" s="840">
        <v>256</v>
      </c>
      <c r="K70" s="840">
        <f t="shared" si="3"/>
        <v>211379</v>
      </c>
      <c r="L70" s="841">
        <v>0</v>
      </c>
      <c r="M70" s="841">
        <v>0</v>
      </c>
      <c r="N70" s="841">
        <v>23694</v>
      </c>
      <c r="O70" s="841">
        <v>77238</v>
      </c>
      <c r="P70" s="841">
        <v>0</v>
      </c>
      <c r="Q70" s="841">
        <v>110392</v>
      </c>
      <c r="R70" s="841">
        <v>55</v>
      </c>
      <c r="S70" s="841">
        <v>0</v>
      </c>
      <c r="T70" s="836"/>
      <c r="V70" s="842"/>
      <c r="X70" s="832"/>
      <c r="Y70" s="832"/>
      <c r="AI70" s="837"/>
      <c r="AJ70" s="832"/>
    </row>
    <row r="71" spans="1:36" ht="24" x14ac:dyDescent="0.2">
      <c r="A71" s="2">
        <v>61</v>
      </c>
      <c r="B71" s="413" t="s">
        <v>135</v>
      </c>
      <c r="C71" s="446" t="s">
        <v>136</v>
      </c>
      <c r="D71" s="840">
        <f t="shared" si="5"/>
        <v>101401</v>
      </c>
      <c r="E71" s="840">
        <f t="shared" si="7"/>
        <v>21933</v>
      </c>
      <c r="F71" s="840">
        <v>0</v>
      </c>
      <c r="G71" s="840">
        <v>21933</v>
      </c>
      <c r="H71" s="830">
        <f t="shared" si="6"/>
        <v>81</v>
      </c>
      <c r="I71" s="840">
        <v>0</v>
      </c>
      <c r="J71" s="840">
        <v>81</v>
      </c>
      <c r="K71" s="840">
        <f t="shared" si="3"/>
        <v>79387</v>
      </c>
      <c r="L71" s="841">
        <v>0</v>
      </c>
      <c r="M71" s="841">
        <v>0</v>
      </c>
      <c r="N71" s="841">
        <v>11892</v>
      </c>
      <c r="O71" s="841">
        <v>43029</v>
      </c>
      <c r="P71" s="841">
        <v>0</v>
      </c>
      <c r="Q71" s="841">
        <v>24449</v>
      </c>
      <c r="R71" s="841">
        <v>17</v>
      </c>
      <c r="S71" s="841">
        <v>0</v>
      </c>
      <c r="T71" s="836"/>
      <c r="V71" s="842"/>
      <c r="X71" s="832"/>
      <c r="Y71" s="832"/>
      <c r="AI71" s="837"/>
      <c r="AJ71" s="832"/>
    </row>
    <row r="72" spans="1:36" ht="36" x14ac:dyDescent="0.2">
      <c r="A72" s="443">
        <v>62</v>
      </c>
      <c r="B72" s="415" t="s">
        <v>137</v>
      </c>
      <c r="C72" s="446" t="s">
        <v>138</v>
      </c>
      <c r="D72" s="840">
        <f t="shared" si="5"/>
        <v>35442</v>
      </c>
      <c r="E72" s="840">
        <f t="shared" si="7"/>
        <v>0</v>
      </c>
      <c r="F72" s="840">
        <v>0</v>
      </c>
      <c r="G72" s="840">
        <v>0</v>
      </c>
      <c r="H72" s="830">
        <f t="shared" si="6"/>
        <v>0</v>
      </c>
      <c r="I72" s="840">
        <v>0</v>
      </c>
      <c r="J72" s="840">
        <v>0</v>
      </c>
      <c r="K72" s="840">
        <f t="shared" si="3"/>
        <v>35442</v>
      </c>
      <c r="L72" s="841">
        <v>0</v>
      </c>
      <c r="M72" s="841">
        <v>0</v>
      </c>
      <c r="N72" s="841">
        <v>0</v>
      </c>
      <c r="O72" s="841">
        <v>30402</v>
      </c>
      <c r="P72" s="841">
        <v>5040</v>
      </c>
      <c r="Q72" s="841">
        <v>0</v>
      </c>
      <c r="R72" s="841">
        <v>0</v>
      </c>
      <c r="S72" s="841">
        <v>0</v>
      </c>
      <c r="T72" s="836"/>
      <c r="V72" s="842"/>
      <c r="X72" s="832"/>
      <c r="Y72" s="832"/>
      <c r="AI72" s="837"/>
      <c r="AJ72" s="832"/>
    </row>
    <row r="73" spans="1:36" ht="36" x14ac:dyDescent="0.2">
      <c r="A73" s="2">
        <v>63</v>
      </c>
      <c r="B73" s="415" t="s">
        <v>139</v>
      </c>
      <c r="C73" s="446" t="s">
        <v>140</v>
      </c>
      <c r="D73" s="840">
        <f t="shared" si="5"/>
        <v>34287</v>
      </c>
      <c r="E73" s="840">
        <f t="shared" si="7"/>
        <v>0</v>
      </c>
      <c r="F73" s="840">
        <v>0</v>
      </c>
      <c r="G73" s="840">
        <v>0</v>
      </c>
      <c r="H73" s="830">
        <f t="shared" si="6"/>
        <v>0</v>
      </c>
      <c r="I73" s="840">
        <v>0</v>
      </c>
      <c r="J73" s="840">
        <v>0</v>
      </c>
      <c r="K73" s="840">
        <f t="shared" si="3"/>
        <v>34287</v>
      </c>
      <c r="L73" s="841">
        <v>0</v>
      </c>
      <c r="M73" s="841">
        <v>0</v>
      </c>
      <c r="N73" s="841">
        <v>0</v>
      </c>
      <c r="O73" s="841">
        <v>15383</v>
      </c>
      <c r="P73" s="841">
        <v>18904</v>
      </c>
      <c r="Q73" s="841">
        <v>0</v>
      </c>
      <c r="R73" s="841">
        <v>0</v>
      </c>
      <c r="S73" s="841">
        <v>0</v>
      </c>
      <c r="T73" s="836"/>
      <c r="V73" s="842"/>
      <c r="X73" s="832"/>
      <c r="Y73" s="832"/>
      <c r="AI73" s="837"/>
      <c r="AJ73" s="832"/>
    </row>
    <row r="74" spans="1:36" ht="24" x14ac:dyDescent="0.2">
      <c r="A74" s="443">
        <v>64</v>
      </c>
      <c r="B74" s="445" t="s">
        <v>141</v>
      </c>
      <c r="C74" s="446" t="s">
        <v>142</v>
      </c>
      <c r="D74" s="840">
        <f t="shared" si="5"/>
        <v>133111</v>
      </c>
      <c r="E74" s="840">
        <f t="shared" si="7"/>
        <v>5132</v>
      </c>
      <c r="F74" s="840">
        <v>5132</v>
      </c>
      <c r="G74" s="840">
        <v>0</v>
      </c>
      <c r="H74" s="830">
        <f t="shared" si="6"/>
        <v>33492</v>
      </c>
      <c r="I74" s="840">
        <v>33492</v>
      </c>
      <c r="J74" s="840">
        <v>0</v>
      </c>
      <c r="K74" s="840">
        <f t="shared" si="3"/>
        <v>94487</v>
      </c>
      <c r="L74" s="841">
        <v>8473</v>
      </c>
      <c r="M74" s="841">
        <v>999</v>
      </c>
      <c r="N74" s="841">
        <v>22257</v>
      </c>
      <c r="O74" s="841">
        <v>50302</v>
      </c>
      <c r="P74" s="841">
        <v>0</v>
      </c>
      <c r="Q74" s="841">
        <v>10468</v>
      </c>
      <c r="R74" s="841">
        <v>1988</v>
      </c>
      <c r="S74" s="841">
        <v>26470</v>
      </c>
      <c r="T74" s="836"/>
      <c r="V74" s="842"/>
      <c r="X74" s="832"/>
      <c r="Y74" s="832"/>
      <c r="AI74" s="837"/>
      <c r="AJ74" s="832"/>
    </row>
    <row r="75" spans="1:36" ht="24" x14ac:dyDescent="0.2">
      <c r="A75" s="2">
        <v>65</v>
      </c>
      <c r="B75" s="445" t="s">
        <v>143</v>
      </c>
      <c r="C75" s="444" t="s">
        <v>144</v>
      </c>
      <c r="D75" s="840">
        <f t="shared" si="5"/>
        <v>100143</v>
      </c>
      <c r="E75" s="840">
        <f t="shared" si="7"/>
        <v>3223</v>
      </c>
      <c r="F75" s="840">
        <v>3223</v>
      </c>
      <c r="G75" s="840">
        <v>0</v>
      </c>
      <c r="H75" s="830">
        <f t="shared" si="6"/>
        <v>21031</v>
      </c>
      <c r="I75" s="840">
        <v>21031</v>
      </c>
      <c r="J75" s="840">
        <v>0</v>
      </c>
      <c r="K75" s="840">
        <f t="shared" ref="K75:K138" si="8">SUM(L75:R75)</f>
        <v>75889</v>
      </c>
      <c r="L75" s="841">
        <v>5321</v>
      </c>
      <c r="M75" s="841">
        <v>888</v>
      </c>
      <c r="N75" s="841">
        <v>41782</v>
      </c>
      <c r="O75" s="841">
        <v>9878</v>
      </c>
      <c r="P75" s="841">
        <v>0</v>
      </c>
      <c r="Q75" s="841">
        <v>16915</v>
      </c>
      <c r="R75" s="841">
        <v>1105</v>
      </c>
      <c r="S75" s="841">
        <v>30027</v>
      </c>
      <c r="T75" s="836"/>
      <c r="V75" s="842"/>
      <c r="X75" s="832"/>
      <c r="Y75" s="832"/>
      <c r="AI75" s="837"/>
      <c r="AJ75" s="832"/>
    </row>
    <row r="76" spans="1:36" ht="24" x14ac:dyDescent="0.2">
      <c r="A76" s="443">
        <v>66</v>
      </c>
      <c r="B76" s="445" t="s">
        <v>145</v>
      </c>
      <c r="C76" s="446" t="s">
        <v>146</v>
      </c>
      <c r="D76" s="840">
        <f t="shared" si="5"/>
        <v>172950</v>
      </c>
      <c r="E76" s="840">
        <f t="shared" si="7"/>
        <v>7069</v>
      </c>
      <c r="F76" s="840">
        <v>7069</v>
      </c>
      <c r="G76" s="840">
        <v>0</v>
      </c>
      <c r="H76" s="830">
        <f t="shared" si="6"/>
        <v>46129</v>
      </c>
      <c r="I76" s="840">
        <v>46129</v>
      </c>
      <c r="J76" s="840">
        <v>0</v>
      </c>
      <c r="K76" s="840">
        <f t="shared" si="8"/>
        <v>119752</v>
      </c>
      <c r="L76" s="841">
        <v>11671</v>
      </c>
      <c r="M76" s="841">
        <v>1353</v>
      </c>
      <c r="N76" s="841">
        <v>60904</v>
      </c>
      <c r="O76" s="841">
        <v>33256</v>
      </c>
      <c r="P76" s="841">
        <v>0</v>
      </c>
      <c r="Q76" s="841">
        <v>10620</v>
      </c>
      <c r="R76" s="841">
        <v>1948</v>
      </c>
      <c r="S76" s="841">
        <v>42131</v>
      </c>
      <c r="T76" s="836"/>
      <c r="V76" s="842"/>
      <c r="X76" s="832"/>
      <c r="Y76" s="832"/>
      <c r="AI76" s="837"/>
      <c r="AJ76" s="832"/>
    </row>
    <row r="77" spans="1:36" ht="24" x14ac:dyDescent="0.2">
      <c r="A77" s="2">
        <v>67</v>
      </c>
      <c r="B77" s="445" t="s">
        <v>147</v>
      </c>
      <c r="C77" s="446" t="s">
        <v>148</v>
      </c>
      <c r="D77" s="840">
        <f t="shared" si="5"/>
        <v>2496</v>
      </c>
      <c r="E77" s="840">
        <f t="shared" si="7"/>
        <v>0</v>
      </c>
      <c r="F77" s="840">
        <v>0</v>
      </c>
      <c r="G77" s="840">
        <v>0</v>
      </c>
      <c r="H77" s="830">
        <f t="shared" ref="H77:H94" si="9">I77+J77</f>
        <v>0</v>
      </c>
      <c r="I77" s="840">
        <v>0</v>
      </c>
      <c r="J77" s="840">
        <v>0</v>
      </c>
      <c r="K77" s="840">
        <f t="shared" si="8"/>
        <v>2496</v>
      </c>
      <c r="L77" s="841">
        <v>0</v>
      </c>
      <c r="M77" s="841">
        <v>0</v>
      </c>
      <c r="N77" s="841">
        <v>7</v>
      </c>
      <c r="O77" s="841">
        <v>1989</v>
      </c>
      <c r="P77" s="841">
        <v>200</v>
      </c>
      <c r="Q77" s="841">
        <v>300</v>
      </c>
      <c r="R77" s="841">
        <v>0</v>
      </c>
      <c r="S77" s="841">
        <v>7</v>
      </c>
      <c r="T77" s="836"/>
      <c r="V77" s="842"/>
      <c r="X77" s="832"/>
      <c r="Y77" s="832"/>
      <c r="AI77" s="837"/>
      <c r="AJ77" s="832"/>
    </row>
    <row r="78" spans="1:36" ht="24" x14ac:dyDescent="0.2">
      <c r="A78" s="443">
        <v>68</v>
      </c>
      <c r="B78" s="415" t="s">
        <v>149</v>
      </c>
      <c r="C78" s="446" t="s">
        <v>150</v>
      </c>
      <c r="D78" s="840">
        <f t="shared" si="5"/>
        <v>3082</v>
      </c>
      <c r="E78" s="840">
        <f t="shared" si="7"/>
        <v>0</v>
      </c>
      <c r="F78" s="840">
        <v>0</v>
      </c>
      <c r="G78" s="840">
        <v>0</v>
      </c>
      <c r="H78" s="830">
        <f t="shared" si="9"/>
        <v>0</v>
      </c>
      <c r="I78" s="840">
        <v>0</v>
      </c>
      <c r="J78" s="840">
        <v>0</v>
      </c>
      <c r="K78" s="840">
        <f t="shared" si="8"/>
        <v>3082</v>
      </c>
      <c r="L78" s="841">
        <v>0</v>
      </c>
      <c r="M78" s="841">
        <v>0</v>
      </c>
      <c r="N78" s="841">
        <v>1</v>
      </c>
      <c r="O78" s="841">
        <v>2981</v>
      </c>
      <c r="P78" s="841">
        <v>0</v>
      </c>
      <c r="Q78" s="841">
        <v>100</v>
      </c>
      <c r="R78" s="841">
        <v>0</v>
      </c>
      <c r="S78" s="841">
        <v>8</v>
      </c>
      <c r="T78" s="836"/>
      <c r="V78" s="842"/>
      <c r="X78" s="832"/>
      <c r="Y78" s="832"/>
      <c r="AI78" s="837"/>
      <c r="AJ78" s="832"/>
    </row>
    <row r="79" spans="1:36" ht="24" x14ac:dyDescent="0.2">
      <c r="A79" s="2">
        <v>69</v>
      </c>
      <c r="B79" s="445" t="s">
        <v>151</v>
      </c>
      <c r="C79" s="446" t="s">
        <v>152</v>
      </c>
      <c r="D79" s="840">
        <f t="shared" si="5"/>
        <v>3616</v>
      </c>
      <c r="E79" s="840">
        <f t="shared" si="7"/>
        <v>0</v>
      </c>
      <c r="F79" s="840">
        <v>0</v>
      </c>
      <c r="G79" s="840">
        <v>0</v>
      </c>
      <c r="H79" s="830">
        <f t="shared" si="9"/>
        <v>0</v>
      </c>
      <c r="I79" s="840">
        <v>0</v>
      </c>
      <c r="J79" s="840">
        <v>0</v>
      </c>
      <c r="K79" s="840">
        <f t="shared" si="8"/>
        <v>3616</v>
      </c>
      <c r="L79" s="841">
        <v>0</v>
      </c>
      <c r="M79" s="841">
        <v>0</v>
      </c>
      <c r="N79" s="841">
        <v>13</v>
      </c>
      <c r="O79" s="841">
        <v>3503</v>
      </c>
      <c r="P79" s="841">
        <v>50</v>
      </c>
      <c r="Q79" s="841">
        <v>50</v>
      </c>
      <c r="R79" s="841">
        <v>0</v>
      </c>
      <c r="S79" s="841">
        <v>12</v>
      </c>
      <c r="T79" s="836"/>
      <c r="V79" s="842"/>
      <c r="X79" s="832"/>
      <c r="Y79" s="832"/>
      <c r="AI79" s="837"/>
      <c r="AJ79" s="832"/>
    </row>
    <row r="80" spans="1:36" ht="24" x14ac:dyDescent="0.2">
      <c r="A80" s="443">
        <v>70</v>
      </c>
      <c r="B80" s="445" t="s">
        <v>153</v>
      </c>
      <c r="C80" s="446" t="s">
        <v>154</v>
      </c>
      <c r="D80" s="840">
        <f t="shared" si="5"/>
        <v>3460</v>
      </c>
      <c r="E80" s="840">
        <f t="shared" si="7"/>
        <v>0</v>
      </c>
      <c r="F80" s="840">
        <v>0</v>
      </c>
      <c r="G80" s="840">
        <v>0</v>
      </c>
      <c r="H80" s="830">
        <f t="shared" si="9"/>
        <v>0</v>
      </c>
      <c r="I80" s="840">
        <v>0</v>
      </c>
      <c r="J80" s="840">
        <v>0</v>
      </c>
      <c r="K80" s="840">
        <f t="shared" si="8"/>
        <v>3460</v>
      </c>
      <c r="L80" s="841">
        <v>0</v>
      </c>
      <c r="M80" s="841">
        <v>0</v>
      </c>
      <c r="N80" s="841">
        <v>571</v>
      </c>
      <c r="O80" s="841">
        <v>2599</v>
      </c>
      <c r="P80" s="841">
        <v>0</v>
      </c>
      <c r="Q80" s="841">
        <v>290</v>
      </c>
      <c r="R80" s="841">
        <v>0</v>
      </c>
      <c r="S80" s="841">
        <v>19</v>
      </c>
      <c r="T80" s="836"/>
      <c r="V80" s="842"/>
      <c r="X80" s="832"/>
      <c r="Y80" s="832"/>
      <c r="AI80" s="837"/>
      <c r="AJ80" s="832"/>
    </row>
    <row r="81" spans="1:36" ht="24" x14ac:dyDescent="0.2">
      <c r="A81" s="2">
        <v>71</v>
      </c>
      <c r="B81" s="415" t="s">
        <v>155</v>
      </c>
      <c r="C81" s="446" t="s">
        <v>156</v>
      </c>
      <c r="D81" s="840">
        <f t="shared" si="5"/>
        <v>18691</v>
      </c>
      <c r="E81" s="840">
        <f t="shared" si="7"/>
        <v>0</v>
      </c>
      <c r="F81" s="840">
        <v>0</v>
      </c>
      <c r="G81" s="840">
        <v>0</v>
      </c>
      <c r="H81" s="830">
        <f t="shared" si="9"/>
        <v>0</v>
      </c>
      <c r="I81" s="840">
        <v>0</v>
      </c>
      <c r="J81" s="840">
        <v>0</v>
      </c>
      <c r="K81" s="840">
        <f t="shared" si="8"/>
        <v>18691</v>
      </c>
      <c r="L81" s="841">
        <v>0</v>
      </c>
      <c r="M81" s="841">
        <v>0</v>
      </c>
      <c r="N81" s="841">
        <v>0</v>
      </c>
      <c r="O81" s="841">
        <v>13091</v>
      </c>
      <c r="P81" s="841">
        <v>4000</v>
      </c>
      <c r="Q81" s="841">
        <v>1600</v>
      </c>
      <c r="R81" s="841">
        <v>0</v>
      </c>
      <c r="S81" s="841">
        <v>0</v>
      </c>
      <c r="T81" s="836"/>
      <c r="V81" s="842"/>
      <c r="X81" s="832"/>
      <c r="Y81" s="832"/>
      <c r="AI81" s="837"/>
      <c r="AJ81" s="832"/>
    </row>
    <row r="82" spans="1:36" ht="24" x14ac:dyDescent="0.2">
      <c r="A82" s="443">
        <v>72</v>
      </c>
      <c r="B82" s="415" t="s">
        <v>157</v>
      </c>
      <c r="C82" s="446" t="s">
        <v>158</v>
      </c>
      <c r="D82" s="840">
        <f t="shared" si="5"/>
        <v>2724</v>
      </c>
      <c r="E82" s="840">
        <f t="shared" si="7"/>
        <v>0</v>
      </c>
      <c r="F82" s="840">
        <v>0</v>
      </c>
      <c r="G82" s="840">
        <v>0</v>
      </c>
      <c r="H82" s="830">
        <f t="shared" si="9"/>
        <v>0</v>
      </c>
      <c r="I82" s="840">
        <v>0</v>
      </c>
      <c r="J82" s="840">
        <v>0</v>
      </c>
      <c r="K82" s="840">
        <f t="shared" si="8"/>
        <v>2724</v>
      </c>
      <c r="L82" s="841">
        <v>0</v>
      </c>
      <c r="M82" s="841">
        <v>0</v>
      </c>
      <c r="N82" s="841">
        <v>6</v>
      </c>
      <c r="O82" s="841">
        <v>2405</v>
      </c>
      <c r="P82" s="841">
        <v>163</v>
      </c>
      <c r="Q82" s="841">
        <v>150</v>
      </c>
      <c r="R82" s="841">
        <v>0</v>
      </c>
      <c r="S82" s="841">
        <v>10</v>
      </c>
      <c r="T82" s="836"/>
      <c r="V82" s="842"/>
      <c r="X82" s="832"/>
      <c r="Y82" s="832"/>
      <c r="AI82" s="837"/>
      <c r="AJ82" s="832"/>
    </row>
    <row r="83" spans="1:36" ht="24" x14ac:dyDescent="0.2">
      <c r="A83" s="2">
        <v>73</v>
      </c>
      <c r="B83" s="415" t="s">
        <v>159</v>
      </c>
      <c r="C83" s="446" t="s">
        <v>160</v>
      </c>
      <c r="D83" s="840">
        <f t="shared" ref="D83:D149" si="10">E83+H83+K83</f>
        <v>2717</v>
      </c>
      <c r="E83" s="840">
        <f t="shared" si="7"/>
        <v>0</v>
      </c>
      <c r="F83" s="840">
        <v>0</v>
      </c>
      <c r="G83" s="840">
        <v>0</v>
      </c>
      <c r="H83" s="830">
        <f t="shared" si="9"/>
        <v>0</v>
      </c>
      <c r="I83" s="840">
        <v>0</v>
      </c>
      <c r="J83" s="840">
        <v>0</v>
      </c>
      <c r="K83" s="840">
        <f t="shared" si="8"/>
        <v>2717</v>
      </c>
      <c r="L83" s="841">
        <v>0</v>
      </c>
      <c r="M83" s="841">
        <v>0</v>
      </c>
      <c r="N83" s="841">
        <v>0</v>
      </c>
      <c r="O83" s="841">
        <v>2593</v>
      </c>
      <c r="P83" s="841">
        <v>124</v>
      </c>
      <c r="Q83" s="841">
        <v>0</v>
      </c>
      <c r="R83" s="841">
        <v>0</v>
      </c>
      <c r="S83" s="841">
        <v>0</v>
      </c>
      <c r="T83" s="836"/>
      <c r="V83" s="842"/>
      <c r="X83" s="832"/>
      <c r="Y83" s="832"/>
      <c r="AI83" s="837"/>
      <c r="AJ83" s="832"/>
    </row>
    <row r="84" spans="1:36" ht="24" x14ac:dyDescent="0.2">
      <c r="A84" s="443">
        <v>74</v>
      </c>
      <c r="B84" s="413" t="s">
        <v>161</v>
      </c>
      <c r="C84" s="446" t="s">
        <v>162</v>
      </c>
      <c r="D84" s="840">
        <f t="shared" si="10"/>
        <v>221417</v>
      </c>
      <c r="E84" s="840">
        <f t="shared" ref="E84:E94" si="11">F84+G84</f>
        <v>28302</v>
      </c>
      <c r="F84" s="840">
        <v>3798</v>
      </c>
      <c r="G84" s="840">
        <v>24504</v>
      </c>
      <c r="H84" s="830">
        <f t="shared" si="9"/>
        <v>24969</v>
      </c>
      <c r="I84" s="840">
        <v>24786</v>
      </c>
      <c r="J84" s="840">
        <v>183</v>
      </c>
      <c r="K84" s="840">
        <f t="shared" si="8"/>
        <v>168146</v>
      </c>
      <c r="L84" s="841">
        <v>6271</v>
      </c>
      <c r="M84" s="841">
        <v>822</v>
      </c>
      <c r="N84" s="841">
        <v>26956</v>
      </c>
      <c r="O84" s="841">
        <v>56475</v>
      </c>
      <c r="P84" s="841">
        <v>3940</v>
      </c>
      <c r="Q84" s="841">
        <v>72242</v>
      </c>
      <c r="R84" s="841">
        <v>1440</v>
      </c>
      <c r="S84" s="841">
        <v>25904</v>
      </c>
      <c r="T84" s="836"/>
      <c r="V84" s="842"/>
      <c r="X84" s="832"/>
      <c r="Y84" s="832"/>
      <c r="AI84" s="837"/>
      <c r="AJ84" s="832"/>
    </row>
    <row r="85" spans="1:36" x14ac:dyDescent="0.2">
      <c r="A85" s="2">
        <v>75</v>
      </c>
      <c r="B85" s="415" t="s">
        <v>163</v>
      </c>
      <c r="C85" s="446" t="s">
        <v>164</v>
      </c>
      <c r="D85" s="840">
        <f t="shared" si="10"/>
        <v>242093</v>
      </c>
      <c r="E85" s="840">
        <f t="shared" si="11"/>
        <v>12968</v>
      </c>
      <c r="F85" s="840">
        <v>9510</v>
      </c>
      <c r="G85" s="840">
        <v>3458</v>
      </c>
      <c r="H85" s="830">
        <f t="shared" si="9"/>
        <v>62054</v>
      </c>
      <c r="I85" s="840">
        <v>62054</v>
      </c>
      <c r="J85" s="840">
        <v>0</v>
      </c>
      <c r="K85" s="840">
        <f t="shared" si="8"/>
        <v>167071</v>
      </c>
      <c r="L85" s="841">
        <v>15700</v>
      </c>
      <c r="M85" s="841">
        <v>1812</v>
      </c>
      <c r="N85" s="841">
        <v>56161</v>
      </c>
      <c r="O85" s="841">
        <v>50643</v>
      </c>
      <c r="P85" s="841">
        <v>960</v>
      </c>
      <c r="Q85" s="841">
        <v>39808</v>
      </c>
      <c r="R85" s="841">
        <v>1987</v>
      </c>
      <c r="S85" s="841">
        <v>37113</v>
      </c>
      <c r="T85" s="836"/>
      <c r="V85" s="842"/>
      <c r="X85" s="832"/>
      <c r="Y85" s="832"/>
      <c r="AI85" s="837"/>
      <c r="AJ85" s="832"/>
    </row>
    <row r="86" spans="1:36" x14ac:dyDescent="0.2">
      <c r="A86" s="443">
        <v>76</v>
      </c>
      <c r="B86" s="413" t="s">
        <v>165</v>
      </c>
      <c r="C86" s="446" t="s">
        <v>166</v>
      </c>
      <c r="D86" s="840">
        <f t="shared" si="10"/>
        <v>140312</v>
      </c>
      <c r="E86" s="840">
        <f t="shared" si="11"/>
        <v>5566</v>
      </c>
      <c r="F86" s="840">
        <v>5566</v>
      </c>
      <c r="G86" s="840">
        <v>0</v>
      </c>
      <c r="H86" s="830">
        <f t="shared" si="9"/>
        <v>36321</v>
      </c>
      <c r="I86" s="840">
        <v>36321</v>
      </c>
      <c r="J86" s="840">
        <v>0</v>
      </c>
      <c r="K86" s="840">
        <f t="shared" si="8"/>
        <v>98425</v>
      </c>
      <c r="L86" s="841">
        <v>9189</v>
      </c>
      <c r="M86" s="841">
        <v>1164</v>
      </c>
      <c r="N86" s="841">
        <v>31524</v>
      </c>
      <c r="O86" s="841">
        <v>27786</v>
      </c>
      <c r="P86" s="841">
        <v>4300</v>
      </c>
      <c r="Q86" s="841">
        <v>22715</v>
      </c>
      <c r="R86" s="841">
        <v>1747</v>
      </c>
      <c r="S86" s="841">
        <v>31971</v>
      </c>
      <c r="T86" s="836"/>
      <c r="V86" s="842"/>
      <c r="X86" s="832"/>
      <c r="Y86" s="832"/>
      <c r="AI86" s="837"/>
      <c r="AJ86" s="832"/>
    </row>
    <row r="87" spans="1:36" x14ac:dyDescent="0.2">
      <c r="A87" s="2">
        <v>77</v>
      </c>
      <c r="B87" s="447" t="s">
        <v>167</v>
      </c>
      <c r="C87" s="448" t="s">
        <v>168</v>
      </c>
      <c r="D87" s="840">
        <f t="shared" si="10"/>
        <v>40316</v>
      </c>
      <c r="E87" s="840">
        <f t="shared" si="11"/>
        <v>1626</v>
      </c>
      <c r="F87" s="840">
        <v>1626</v>
      </c>
      <c r="G87" s="840">
        <v>0</v>
      </c>
      <c r="H87" s="830">
        <f t="shared" si="9"/>
        <v>10609</v>
      </c>
      <c r="I87" s="840">
        <v>10609</v>
      </c>
      <c r="J87" s="840">
        <v>0</v>
      </c>
      <c r="K87" s="840">
        <f t="shared" si="8"/>
        <v>28081</v>
      </c>
      <c r="L87" s="841">
        <v>2684</v>
      </c>
      <c r="M87" s="841">
        <v>231</v>
      </c>
      <c r="N87" s="841">
        <v>12769</v>
      </c>
      <c r="O87" s="841">
        <v>10614</v>
      </c>
      <c r="P87" s="841">
        <v>0</v>
      </c>
      <c r="Q87" s="841">
        <v>1783</v>
      </c>
      <c r="R87" s="841">
        <v>0</v>
      </c>
      <c r="S87" s="841">
        <v>7895</v>
      </c>
      <c r="T87" s="836"/>
      <c r="V87" s="842"/>
      <c r="X87" s="832"/>
      <c r="Y87" s="832"/>
      <c r="AI87" s="837"/>
      <c r="AJ87" s="832"/>
    </row>
    <row r="88" spans="1:36" x14ac:dyDescent="0.2">
      <c r="A88" s="443">
        <v>78</v>
      </c>
      <c r="B88" s="415" t="s">
        <v>169</v>
      </c>
      <c r="C88" s="446" t="s">
        <v>170</v>
      </c>
      <c r="D88" s="840">
        <f t="shared" si="10"/>
        <v>259844</v>
      </c>
      <c r="E88" s="840">
        <f t="shared" si="11"/>
        <v>8990</v>
      </c>
      <c r="F88" s="840">
        <v>8990</v>
      </c>
      <c r="G88" s="840">
        <v>0</v>
      </c>
      <c r="H88" s="830">
        <f t="shared" si="9"/>
        <v>58662</v>
      </c>
      <c r="I88" s="840">
        <v>58662</v>
      </c>
      <c r="J88" s="840">
        <v>0</v>
      </c>
      <c r="K88" s="840">
        <f t="shared" si="8"/>
        <v>192192</v>
      </c>
      <c r="L88" s="841">
        <v>14841</v>
      </c>
      <c r="M88" s="841">
        <v>5268</v>
      </c>
      <c r="N88" s="841">
        <v>46063</v>
      </c>
      <c r="O88" s="841">
        <v>74756</v>
      </c>
      <c r="P88" s="841">
        <v>0</v>
      </c>
      <c r="Q88" s="841">
        <v>48834</v>
      </c>
      <c r="R88" s="841">
        <v>2430</v>
      </c>
      <c r="S88" s="841">
        <v>58440</v>
      </c>
      <c r="T88" s="836"/>
      <c r="V88" s="842"/>
      <c r="X88" s="832"/>
      <c r="Y88" s="832"/>
      <c r="AI88" s="837"/>
      <c r="AJ88" s="832"/>
    </row>
    <row r="89" spans="1:36" x14ac:dyDescent="0.2">
      <c r="A89" s="2">
        <v>79</v>
      </c>
      <c r="B89" s="447" t="s">
        <v>171</v>
      </c>
      <c r="C89" s="448" t="s">
        <v>172</v>
      </c>
      <c r="D89" s="840">
        <f t="shared" si="10"/>
        <v>158454</v>
      </c>
      <c r="E89" s="840">
        <f t="shared" si="11"/>
        <v>33274</v>
      </c>
      <c r="F89" s="840">
        <v>0</v>
      </c>
      <c r="G89" s="840">
        <v>33274</v>
      </c>
      <c r="H89" s="830">
        <f t="shared" si="9"/>
        <v>390</v>
      </c>
      <c r="I89" s="840">
        <v>0</v>
      </c>
      <c r="J89" s="840">
        <v>390</v>
      </c>
      <c r="K89" s="840">
        <f t="shared" si="8"/>
        <v>124790</v>
      </c>
      <c r="L89" s="841">
        <v>0</v>
      </c>
      <c r="M89" s="841">
        <v>0</v>
      </c>
      <c r="N89" s="841">
        <v>23053</v>
      </c>
      <c r="O89" s="841">
        <v>60400</v>
      </c>
      <c r="P89" s="841">
        <v>0</v>
      </c>
      <c r="Q89" s="841">
        <v>41320</v>
      </c>
      <c r="R89" s="841">
        <v>17</v>
      </c>
      <c r="S89" s="841">
        <v>0</v>
      </c>
      <c r="T89" s="836"/>
      <c r="V89" s="842"/>
      <c r="X89" s="832"/>
      <c r="Y89" s="832"/>
      <c r="AI89" s="837"/>
      <c r="AJ89" s="832"/>
    </row>
    <row r="90" spans="1:36" x14ac:dyDescent="0.2">
      <c r="A90" s="443">
        <v>80</v>
      </c>
      <c r="B90" s="415" t="s">
        <v>173</v>
      </c>
      <c r="C90" s="446" t="s">
        <v>174</v>
      </c>
      <c r="D90" s="840">
        <f t="shared" si="10"/>
        <v>203340</v>
      </c>
      <c r="E90" s="840">
        <f t="shared" si="11"/>
        <v>7329</v>
      </c>
      <c r="F90" s="840">
        <v>7329</v>
      </c>
      <c r="G90" s="840">
        <v>0</v>
      </c>
      <c r="H90" s="830">
        <f t="shared" si="9"/>
        <v>47823</v>
      </c>
      <c r="I90" s="840">
        <v>47823</v>
      </c>
      <c r="J90" s="840">
        <v>0</v>
      </c>
      <c r="K90" s="840">
        <f t="shared" si="8"/>
        <v>148188</v>
      </c>
      <c r="L90" s="841">
        <v>12099</v>
      </c>
      <c r="M90" s="841">
        <v>2679</v>
      </c>
      <c r="N90" s="841">
        <v>41471</v>
      </c>
      <c r="O90" s="841">
        <v>27194</v>
      </c>
      <c r="P90" s="841">
        <v>1500</v>
      </c>
      <c r="Q90" s="841">
        <v>61357</v>
      </c>
      <c r="R90" s="841">
        <v>1888</v>
      </c>
      <c r="S90" s="841">
        <v>37572</v>
      </c>
      <c r="T90" s="836"/>
      <c r="V90" s="842"/>
      <c r="X90" s="832"/>
      <c r="Y90" s="832"/>
      <c r="AI90" s="837"/>
      <c r="AJ90" s="832"/>
    </row>
    <row r="91" spans="1:36" x14ac:dyDescent="0.2">
      <c r="A91" s="2">
        <v>81</v>
      </c>
      <c r="B91" s="447" t="s">
        <v>175</v>
      </c>
      <c r="C91" s="69" t="s">
        <v>754</v>
      </c>
      <c r="D91" s="840">
        <f t="shared" si="10"/>
        <v>42977</v>
      </c>
      <c r="E91" s="840">
        <f t="shared" si="11"/>
        <v>0</v>
      </c>
      <c r="F91" s="840">
        <v>0</v>
      </c>
      <c r="G91" s="840">
        <v>0</v>
      </c>
      <c r="H91" s="830">
        <f t="shared" si="9"/>
        <v>0</v>
      </c>
      <c r="I91" s="840">
        <v>0</v>
      </c>
      <c r="J91" s="840">
        <v>0</v>
      </c>
      <c r="K91" s="840">
        <f t="shared" si="8"/>
        <v>42977</v>
      </c>
      <c r="L91" s="841">
        <v>0</v>
      </c>
      <c r="M91" s="841">
        <v>0</v>
      </c>
      <c r="N91" s="841">
        <v>0</v>
      </c>
      <c r="O91" s="841">
        <v>14229</v>
      </c>
      <c r="P91" s="841">
        <v>0</v>
      </c>
      <c r="Q91" s="841">
        <v>28748</v>
      </c>
      <c r="R91" s="841">
        <v>0</v>
      </c>
      <c r="S91" s="841">
        <v>0</v>
      </c>
      <c r="T91" s="836"/>
      <c r="V91" s="842"/>
      <c r="X91" s="832"/>
      <c r="Y91" s="832"/>
      <c r="AI91" s="837"/>
      <c r="AJ91" s="832"/>
    </row>
    <row r="92" spans="1:36" x14ac:dyDescent="0.2">
      <c r="A92" s="443">
        <v>82</v>
      </c>
      <c r="B92" s="445" t="s">
        <v>177</v>
      </c>
      <c r="C92" s="446" t="s">
        <v>358</v>
      </c>
      <c r="D92" s="840">
        <f t="shared" si="10"/>
        <v>0</v>
      </c>
      <c r="E92" s="840">
        <f t="shared" si="11"/>
        <v>0</v>
      </c>
      <c r="F92" s="840">
        <v>0</v>
      </c>
      <c r="G92" s="840">
        <v>0</v>
      </c>
      <c r="H92" s="830">
        <f t="shared" si="9"/>
        <v>0</v>
      </c>
      <c r="I92" s="840">
        <v>0</v>
      </c>
      <c r="J92" s="840">
        <v>0</v>
      </c>
      <c r="K92" s="840">
        <f t="shared" si="8"/>
        <v>0</v>
      </c>
      <c r="L92" s="841">
        <v>0</v>
      </c>
      <c r="M92" s="841">
        <v>0</v>
      </c>
      <c r="N92" s="841">
        <v>0</v>
      </c>
      <c r="O92" s="841">
        <v>0</v>
      </c>
      <c r="P92" s="841">
        <v>0</v>
      </c>
      <c r="Q92" s="841">
        <v>0</v>
      </c>
      <c r="R92" s="841">
        <v>0</v>
      </c>
      <c r="S92" s="841">
        <v>0</v>
      </c>
      <c r="T92" s="836"/>
      <c r="V92" s="842"/>
      <c r="X92" s="832"/>
      <c r="Y92" s="832"/>
      <c r="AI92" s="837"/>
      <c r="AJ92" s="832"/>
    </row>
    <row r="93" spans="1:36" ht="36" x14ac:dyDescent="0.2">
      <c r="A93" s="988">
        <v>83</v>
      </c>
      <c r="B93" s="991" t="s">
        <v>178</v>
      </c>
      <c r="C93" s="446" t="s">
        <v>179</v>
      </c>
      <c r="D93" s="840">
        <f t="shared" si="10"/>
        <v>16922</v>
      </c>
      <c r="E93" s="840">
        <f t="shared" si="11"/>
        <v>420</v>
      </c>
      <c r="F93" s="840">
        <v>420</v>
      </c>
      <c r="G93" s="840">
        <v>0</v>
      </c>
      <c r="H93" s="830">
        <f t="shared" si="9"/>
        <v>2740</v>
      </c>
      <c r="I93" s="840">
        <v>2740</v>
      </c>
      <c r="J93" s="840">
        <v>0</v>
      </c>
      <c r="K93" s="840">
        <f t="shared" si="8"/>
        <v>13762</v>
      </c>
      <c r="L93" s="841">
        <v>693</v>
      </c>
      <c r="M93" s="841">
        <v>45</v>
      </c>
      <c r="N93" s="841">
        <v>462</v>
      </c>
      <c r="O93" s="841">
        <v>11376</v>
      </c>
      <c r="P93" s="841">
        <v>0</v>
      </c>
      <c r="Q93" s="841">
        <v>1186</v>
      </c>
      <c r="R93" s="841">
        <v>0</v>
      </c>
      <c r="S93" s="841">
        <v>194</v>
      </c>
      <c r="T93" s="836"/>
      <c r="V93" s="842"/>
      <c r="X93" s="832"/>
      <c r="Y93" s="832"/>
      <c r="AI93" s="837"/>
      <c r="AJ93" s="832"/>
    </row>
    <row r="94" spans="1:36" ht="36" x14ac:dyDescent="0.2">
      <c r="A94" s="989"/>
      <c r="B94" s="992"/>
      <c r="C94" s="446" t="s">
        <v>180</v>
      </c>
      <c r="D94" s="840">
        <f t="shared" si="10"/>
        <v>3600</v>
      </c>
      <c r="E94" s="840">
        <f t="shared" si="11"/>
        <v>0</v>
      </c>
      <c r="F94" s="840">
        <v>0</v>
      </c>
      <c r="G94" s="840">
        <v>0</v>
      </c>
      <c r="H94" s="830">
        <f t="shared" si="9"/>
        <v>0</v>
      </c>
      <c r="I94" s="840">
        <v>0</v>
      </c>
      <c r="J94" s="840">
        <v>0</v>
      </c>
      <c r="K94" s="840">
        <f t="shared" si="8"/>
        <v>3600</v>
      </c>
      <c r="L94" s="843">
        <v>0</v>
      </c>
      <c r="M94" s="843">
        <v>0</v>
      </c>
      <c r="N94" s="841">
        <v>0</v>
      </c>
      <c r="O94" s="841">
        <v>3600</v>
      </c>
      <c r="P94" s="841">
        <v>0</v>
      </c>
      <c r="Q94" s="841">
        <v>0</v>
      </c>
      <c r="R94" s="841">
        <v>0</v>
      </c>
      <c r="S94" s="841"/>
      <c r="T94" s="836"/>
      <c r="V94" s="842"/>
      <c r="X94" s="832"/>
      <c r="Y94" s="832"/>
      <c r="AI94" s="837"/>
      <c r="AJ94" s="832"/>
    </row>
    <row r="95" spans="1:36" ht="60" x14ac:dyDescent="0.2">
      <c r="A95" s="990"/>
      <c r="B95" s="993"/>
      <c r="C95" s="384" t="s">
        <v>510</v>
      </c>
      <c r="D95" s="840">
        <f t="shared" si="10"/>
        <v>8000</v>
      </c>
      <c r="E95" s="840">
        <v>0</v>
      </c>
      <c r="F95" s="840">
        <v>0</v>
      </c>
      <c r="G95" s="840">
        <v>0</v>
      </c>
      <c r="H95" s="830">
        <v>0</v>
      </c>
      <c r="I95" s="840">
        <v>0</v>
      </c>
      <c r="J95" s="840">
        <v>0</v>
      </c>
      <c r="K95" s="840">
        <f t="shared" si="8"/>
        <v>8000</v>
      </c>
      <c r="L95" s="843">
        <v>0</v>
      </c>
      <c r="M95" s="843">
        <v>0</v>
      </c>
      <c r="N95" s="841">
        <v>0</v>
      </c>
      <c r="O95" s="841">
        <v>8000</v>
      </c>
      <c r="P95" s="841">
        <v>0</v>
      </c>
      <c r="Q95" s="841">
        <v>0</v>
      </c>
      <c r="R95" s="841">
        <v>0</v>
      </c>
      <c r="S95" s="841"/>
      <c r="T95" s="836"/>
      <c r="V95" s="842"/>
      <c r="X95" s="832"/>
      <c r="Y95" s="832"/>
      <c r="AI95" s="837"/>
      <c r="AJ95" s="832"/>
    </row>
    <row r="96" spans="1:36" ht="24" x14ac:dyDescent="0.2">
      <c r="A96" s="443">
        <v>84</v>
      </c>
      <c r="B96" s="445" t="s">
        <v>181</v>
      </c>
      <c r="C96" s="444" t="s">
        <v>182</v>
      </c>
      <c r="D96" s="840">
        <f t="shared" si="10"/>
        <v>8400</v>
      </c>
      <c r="E96" s="840">
        <f t="shared" ref="E96:E152" si="12">F96+G96</f>
        <v>0</v>
      </c>
      <c r="F96" s="840">
        <v>0</v>
      </c>
      <c r="G96" s="840">
        <v>0</v>
      </c>
      <c r="H96" s="830">
        <f t="shared" ref="H96:H152" si="13">I96+J96</f>
        <v>0</v>
      </c>
      <c r="I96" s="840">
        <v>0</v>
      </c>
      <c r="J96" s="840">
        <v>0</v>
      </c>
      <c r="K96" s="840">
        <f t="shared" si="8"/>
        <v>8400</v>
      </c>
      <c r="L96" s="843">
        <v>0</v>
      </c>
      <c r="M96" s="843">
        <v>0</v>
      </c>
      <c r="N96" s="841">
        <v>0</v>
      </c>
      <c r="O96" s="841">
        <v>8400</v>
      </c>
      <c r="P96" s="841">
        <v>0</v>
      </c>
      <c r="Q96" s="841">
        <v>0</v>
      </c>
      <c r="R96" s="841">
        <v>0</v>
      </c>
      <c r="S96" s="841">
        <v>0</v>
      </c>
      <c r="T96" s="836"/>
      <c r="V96" s="842"/>
      <c r="X96" s="832"/>
      <c r="Y96" s="832"/>
      <c r="AI96" s="837"/>
      <c r="AJ96" s="832"/>
    </row>
    <row r="97" spans="1:36" x14ac:dyDescent="0.2">
      <c r="A97" s="443">
        <v>85</v>
      </c>
      <c r="B97" s="445" t="s">
        <v>183</v>
      </c>
      <c r="C97" s="448" t="s">
        <v>184</v>
      </c>
      <c r="D97" s="840">
        <f t="shared" si="10"/>
        <v>13584</v>
      </c>
      <c r="E97" s="840">
        <f t="shared" si="12"/>
        <v>337</v>
      </c>
      <c r="F97" s="840">
        <v>337</v>
      </c>
      <c r="G97" s="840">
        <v>0</v>
      </c>
      <c r="H97" s="830">
        <f t="shared" si="13"/>
        <v>2199</v>
      </c>
      <c r="I97" s="840">
        <v>2199</v>
      </c>
      <c r="J97" s="840">
        <v>0</v>
      </c>
      <c r="K97" s="840">
        <f t="shared" si="8"/>
        <v>11048</v>
      </c>
      <c r="L97" s="841">
        <v>556</v>
      </c>
      <c r="M97" s="841">
        <v>75</v>
      </c>
      <c r="N97" s="841">
        <v>1641</v>
      </c>
      <c r="O97" s="841">
        <v>5613</v>
      </c>
      <c r="P97" s="841">
        <v>0</v>
      </c>
      <c r="Q97" s="841">
        <v>3163</v>
      </c>
      <c r="R97" s="841">
        <v>0</v>
      </c>
      <c r="S97" s="841">
        <v>2169</v>
      </c>
      <c r="T97" s="836"/>
      <c r="V97" s="842"/>
      <c r="X97" s="832"/>
      <c r="Y97" s="832"/>
      <c r="AI97" s="837"/>
      <c r="AJ97" s="832"/>
    </row>
    <row r="98" spans="1:36" ht="24" x14ac:dyDescent="0.2">
      <c r="A98" s="443">
        <v>86</v>
      </c>
      <c r="B98" s="413" t="s">
        <v>185</v>
      </c>
      <c r="C98" s="446" t="s">
        <v>186</v>
      </c>
      <c r="D98" s="840">
        <f t="shared" si="10"/>
        <v>38306</v>
      </c>
      <c r="E98" s="840">
        <f t="shared" si="12"/>
        <v>1444</v>
      </c>
      <c r="F98" s="840">
        <v>1444</v>
      </c>
      <c r="G98" s="840">
        <v>0</v>
      </c>
      <c r="H98" s="830">
        <f t="shared" si="13"/>
        <v>9425</v>
      </c>
      <c r="I98" s="840">
        <v>9425</v>
      </c>
      <c r="J98" s="840">
        <v>0</v>
      </c>
      <c r="K98" s="840">
        <f t="shared" si="8"/>
        <v>27437</v>
      </c>
      <c r="L98" s="841">
        <v>2385</v>
      </c>
      <c r="M98" s="841">
        <v>276</v>
      </c>
      <c r="N98" s="841">
        <v>7284</v>
      </c>
      <c r="O98" s="841">
        <v>12505</v>
      </c>
      <c r="P98" s="841">
        <v>1000</v>
      </c>
      <c r="Q98" s="841">
        <v>3987</v>
      </c>
      <c r="R98" s="841">
        <v>0</v>
      </c>
      <c r="S98" s="841">
        <v>6690</v>
      </c>
      <c r="T98" s="836"/>
      <c r="V98" s="842"/>
      <c r="X98" s="832"/>
      <c r="Y98" s="832"/>
      <c r="AI98" s="837"/>
      <c r="AJ98" s="832"/>
    </row>
    <row r="99" spans="1:36" x14ac:dyDescent="0.2">
      <c r="A99" s="443">
        <v>87</v>
      </c>
      <c r="B99" s="445" t="s">
        <v>187</v>
      </c>
      <c r="C99" s="444" t="s">
        <v>188</v>
      </c>
      <c r="D99" s="840">
        <f t="shared" si="10"/>
        <v>40502</v>
      </c>
      <c r="E99" s="840">
        <f t="shared" si="12"/>
        <v>4724</v>
      </c>
      <c r="F99" s="840">
        <v>869</v>
      </c>
      <c r="G99" s="840">
        <v>3855</v>
      </c>
      <c r="H99" s="830">
        <f t="shared" si="13"/>
        <v>5744</v>
      </c>
      <c r="I99" s="840">
        <v>5668</v>
      </c>
      <c r="J99" s="840">
        <v>76</v>
      </c>
      <c r="K99" s="840">
        <f t="shared" si="8"/>
        <v>30034</v>
      </c>
      <c r="L99" s="841">
        <v>1434</v>
      </c>
      <c r="M99" s="841">
        <v>132</v>
      </c>
      <c r="N99" s="841">
        <v>5969</v>
      </c>
      <c r="O99" s="841">
        <v>13563</v>
      </c>
      <c r="P99" s="841">
        <v>0</v>
      </c>
      <c r="Q99" s="841">
        <v>8934</v>
      </c>
      <c r="R99" s="841">
        <v>2</v>
      </c>
      <c r="S99" s="841">
        <v>4580</v>
      </c>
      <c r="T99" s="836"/>
      <c r="V99" s="842"/>
      <c r="X99" s="832"/>
      <c r="Y99" s="832"/>
      <c r="AI99" s="837"/>
      <c r="AJ99" s="832"/>
    </row>
    <row r="100" spans="1:36" x14ac:dyDescent="0.2">
      <c r="A100" s="443">
        <v>88</v>
      </c>
      <c r="B100" s="413" t="s">
        <v>189</v>
      </c>
      <c r="C100" s="446" t="s">
        <v>190</v>
      </c>
      <c r="D100" s="840">
        <f t="shared" si="10"/>
        <v>40206</v>
      </c>
      <c r="E100" s="840">
        <f t="shared" si="12"/>
        <v>4741</v>
      </c>
      <c r="F100" s="840">
        <v>861</v>
      </c>
      <c r="G100" s="840">
        <v>3880</v>
      </c>
      <c r="H100" s="830">
        <f t="shared" si="13"/>
        <v>5633</v>
      </c>
      <c r="I100" s="840">
        <v>5621</v>
      </c>
      <c r="J100" s="840">
        <v>12</v>
      </c>
      <c r="K100" s="840">
        <f t="shared" si="8"/>
        <v>29832</v>
      </c>
      <c r="L100" s="841">
        <v>1422</v>
      </c>
      <c r="M100" s="841">
        <v>30</v>
      </c>
      <c r="N100" s="841">
        <v>5380</v>
      </c>
      <c r="O100" s="841">
        <v>11683</v>
      </c>
      <c r="P100" s="841">
        <v>2960</v>
      </c>
      <c r="Q100" s="841">
        <v>8356</v>
      </c>
      <c r="R100" s="841">
        <v>1</v>
      </c>
      <c r="S100" s="841">
        <v>3583</v>
      </c>
      <c r="T100" s="836"/>
      <c r="V100" s="842"/>
      <c r="X100" s="832"/>
      <c r="Y100" s="832"/>
      <c r="AI100" s="837"/>
      <c r="AJ100" s="832"/>
    </row>
    <row r="101" spans="1:36" ht="24" x14ac:dyDescent="0.2">
      <c r="A101" s="443">
        <v>89</v>
      </c>
      <c r="B101" s="413" t="s">
        <v>191</v>
      </c>
      <c r="C101" s="446" t="s">
        <v>192</v>
      </c>
      <c r="D101" s="840">
        <f t="shared" si="10"/>
        <v>117563</v>
      </c>
      <c r="E101" s="840">
        <f t="shared" si="12"/>
        <v>14923</v>
      </c>
      <c r="F101" s="840">
        <v>2380</v>
      </c>
      <c r="G101" s="840">
        <v>12543</v>
      </c>
      <c r="H101" s="830">
        <f t="shared" si="13"/>
        <v>15711</v>
      </c>
      <c r="I101" s="840">
        <v>15530</v>
      </c>
      <c r="J101" s="840">
        <v>181</v>
      </c>
      <c r="K101" s="840">
        <f t="shared" si="8"/>
        <v>86929</v>
      </c>
      <c r="L101" s="841">
        <v>3929</v>
      </c>
      <c r="M101" s="841">
        <v>510</v>
      </c>
      <c r="N101" s="841">
        <v>13686</v>
      </c>
      <c r="O101" s="841">
        <v>32007</v>
      </c>
      <c r="P101" s="841">
        <v>8000</v>
      </c>
      <c r="Q101" s="841">
        <v>27763</v>
      </c>
      <c r="R101" s="841">
        <v>1034</v>
      </c>
      <c r="S101" s="841">
        <v>13140</v>
      </c>
      <c r="T101" s="836"/>
      <c r="V101" s="842"/>
      <c r="X101" s="832"/>
      <c r="Y101" s="832"/>
      <c r="AI101" s="837"/>
      <c r="AJ101" s="832"/>
    </row>
    <row r="102" spans="1:36" ht="24" x14ac:dyDescent="0.2">
      <c r="A102" s="443">
        <v>90</v>
      </c>
      <c r="B102" s="445" t="s">
        <v>193</v>
      </c>
      <c r="C102" s="448" t="s">
        <v>194</v>
      </c>
      <c r="D102" s="840">
        <f t="shared" si="10"/>
        <v>49189</v>
      </c>
      <c r="E102" s="840">
        <f t="shared" si="12"/>
        <v>5369</v>
      </c>
      <c r="F102" s="840">
        <v>1030</v>
      </c>
      <c r="G102" s="840">
        <v>4339</v>
      </c>
      <c r="H102" s="830">
        <f t="shared" si="13"/>
        <v>6763</v>
      </c>
      <c r="I102" s="840">
        <v>6723</v>
      </c>
      <c r="J102" s="840">
        <v>40</v>
      </c>
      <c r="K102" s="840">
        <f t="shared" si="8"/>
        <v>37057</v>
      </c>
      <c r="L102" s="841">
        <v>1701</v>
      </c>
      <c r="M102" s="841">
        <v>348</v>
      </c>
      <c r="N102" s="841">
        <v>6381</v>
      </c>
      <c r="O102" s="841">
        <v>10804</v>
      </c>
      <c r="P102" s="841">
        <v>6620</v>
      </c>
      <c r="Q102" s="841">
        <v>11202</v>
      </c>
      <c r="R102" s="841">
        <v>1</v>
      </c>
      <c r="S102" s="841">
        <v>5264</v>
      </c>
      <c r="T102" s="836"/>
      <c r="V102" s="842"/>
      <c r="X102" s="832"/>
      <c r="Y102" s="832"/>
      <c r="AI102" s="837"/>
      <c r="AJ102" s="832"/>
    </row>
    <row r="103" spans="1:36" x14ac:dyDescent="0.2">
      <c r="A103" s="443">
        <v>91</v>
      </c>
      <c r="B103" s="445" t="s">
        <v>195</v>
      </c>
      <c r="C103" s="444" t="s">
        <v>196</v>
      </c>
      <c r="D103" s="840">
        <f t="shared" si="10"/>
        <v>60468</v>
      </c>
      <c r="E103" s="840">
        <f t="shared" si="12"/>
        <v>5197</v>
      </c>
      <c r="F103" s="840">
        <v>1338</v>
      </c>
      <c r="G103" s="840">
        <v>3859</v>
      </c>
      <c r="H103" s="830">
        <f t="shared" si="13"/>
        <v>8791</v>
      </c>
      <c r="I103" s="840">
        <v>8730</v>
      </c>
      <c r="J103" s="840">
        <v>61</v>
      </c>
      <c r="K103" s="840">
        <f t="shared" si="8"/>
        <v>46480</v>
      </c>
      <c r="L103" s="841">
        <v>2209</v>
      </c>
      <c r="M103" s="841">
        <v>93</v>
      </c>
      <c r="N103" s="841">
        <v>13895</v>
      </c>
      <c r="O103" s="841">
        <v>18589</v>
      </c>
      <c r="P103" s="841">
        <v>0</v>
      </c>
      <c r="Q103" s="841">
        <v>10628</v>
      </c>
      <c r="R103" s="841">
        <v>1066</v>
      </c>
      <c r="S103" s="841">
        <v>10485</v>
      </c>
      <c r="T103" s="836"/>
      <c r="V103" s="842"/>
      <c r="X103" s="832"/>
      <c r="Y103" s="832"/>
      <c r="AI103" s="837"/>
      <c r="AJ103" s="832"/>
    </row>
    <row r="104" spans="1:36" x14ac:dyDescent="0.2">
      <c r="A104" s="443">
        <v>92</v>
      </c>
      <c r="B104" s="415" t="s">
        <v>197</v>
      </c>
      <c r="C104" s="444" t="s">
        <v>198</v>
      </c>
      <c r="D104" s="840">
        <f t="shared" si="10"/>
        <v>137141</v>
      </c>
      <c r="E104" s="840">
        <f t="shared" si="12"/>
        <v>16718</v>
      </c>
      <c r="F104" s="840">
        <v>2703</v>
      </c>
      <c r="G104" s="840">
        <v>14015</v>
      </c>
      <c r="H104" s="830">
        <f t="shared" si="13"/>
        <v>17893</v>
      </c>
      <c r="I104" s="840">
        <v>17638</v>
      </c>
      <c r="J104" s="840">
        <v>255</v>
      </c>
      <c r="K104" s="840">
        <f t="shared" si="8"/>
        <v>102530</v>
      </c>
      <c r="L104" s="841">
        <v>4462</v>
      </c>
      <c r="M104" s="841">
        <v>414</v>
      </c>
      <c r="N104" s="841">
        <v>12466</v>
      </c>
      <c r="O104" s="841">
        <v>43148</v>
      </c>
      <c r="P104" s="841">
        <v>2300</v>
      </c>
      <c r="Q104" s="841">
        <v>38906</v>
      </c>
      <c r="R104" s="841">
        <v>834</v>
      </c>
      <c r="S104" s="841">
        <v>9656</v>
      </c>
      <c r="T104" s="836"/>
      <c r="V104" s="842"/>
      <c r="X104" s="832"/>
      <c r="Y104" s="832"/>
      <c r="AI104" s="837"/>
      <c r="AJ104" s="832"/>
    </row>
    <row r="105" spans="1:36" ht="24" x14ac:dyDescent="0.2">
      <c r="A105" s="443">
        <v>93</v>
      </c>
      <c r="B105" s="415" t="s">
        <v>199</v>
      </c>
      <c r="C105" s="444" t="s">
        <v>200</v>
      </c>
      <c r="D105" s="840">
        <f t="shared" si="10"/>
        <v>107751</v>
      </c>
      <c r="E105" s="840">
        <f t="shared" si="12"/>
        <v>11542</v>
      </c>
      <c r="F105" s="840">
        <v>2274</v>
      </c>
      <c r="G105" s="840">
        <v>9268</v>
      </c>
      <c r="H105" s="830">
        <f t="shared" si="13"/>
        <v>14946</v>
      </c>
      <c r="I105" s="840">
        <v>14838</v>
      </c>
      <c r="J105" s="840">
        <v>108</v>
      </c>
      <c r="K105" s="840">
        <f t="shared" si="8"/>
        <v>81263</v>
      </c>
      <c r="L105" s="841">
        <v>3754</v>
      </c>
      <c r="M105" s="841">
        <v>591</v>
      </c>
      <c r="N105" s="841">
        <v>9902</v>
      </c>
      <c r="O105" s="841">
        <v>33170</v>
      </c>
      <c r="P105" s="841">
        <v>7477</v>
      </c>
      <c r="Q105" s="841">
        <v>25358</v>
      </c>
      <c r="R105" s="841">
        <v>1011</v>
      </c>
      <c r="S105" s="841">
        <v>8391</v>
      </c>
      <c r="T105" s="836"/>
      <c r="V105" s="842"/>
      <c r="X105" s="832"/>
      <c r="Y105" s="832"/>
      <c r="AI105" s="837"/>
      <c r="AJ105" s="832"/>
    </row>
    <row r="106" spans="1:36" x14ac:dyDescent="0.2">
      <c r="A106" s="443">
        <v>94</v>
      </c>
      <c r="B106" s="413" t="s">
        <v>201</v>
      </c>
      <c r="C106" s="446" t="s">
        <v>202</v>
      </c>
      <c r="D106" s="840">
        <f t="shared" si="10"/>
        <v>37208</v>
      </c>
      <c r="E106" s="840">
        <f t="shared" si="12"/>
        <v>4206</v>
      </c>
      <c r="F106" s="840">
        <v>791</v>
      </c>
      <c r="G106" s="840">
        <v>3415</v>
      </c>
      <c r="H106" s="830">
        <f t="shared" si="13"/>
        <v>5236</v>
      </c>
      <c r="I106" s="840">
        <v>5160</v>
      </c>
      <c r="J106" s="840">
        <v>76</v>
      </c>
      <c r="K106" s="840">
        <f t="shared" si="8"/>
        <v>27766</v>
      </c>
      <c r="L106" s="843">
        <v>1305</v>
      </c>
      <c r="M106" s="843">
        <v>36</v>
      </c>
      <c r="N106" s="841">
        <v>3637</v>
      </c>
      <c r="O106" s="841">
        <v>9725</v>
      </c>
      <c r="P106" s="841">
        <v>2277</v>
      </c>
      <c r="Q106" s="841">
        <v>10500</v>
      </c>
      <c r="R106" s="841">
        <v>286</v>
      </c>
      <c r="S106" s="841">
        <v>4993</v>
      </c>
      <c r="T106" s="836"/>
      <c r="V106" s="842"/>
      <c r="X106" s="832"/>
      <c r="Y106" s="832"/>
      <c r="AI106" s="837"/>
      <c r="AJ106" s="832"/>
    </row>
    <row r="107" spans="1:36" ht="24" x14ac:dyDescent="0.2">
      <c r="A107" s="443">
        <v>95</v>
      </c>
      <c r="B107" s="447" t="s">
        <v>203</v>
      </c>
      <c r="C107" s="448" t="s">
        <v>204</v>
      </c>
      <c r="D107" s="840">
        <f t="shared" si="10"/>
        <v>57490</v>
      </c>
      <c r="E107" s="840">
        <f t="shared" si="12"/>
        <v>6433</v>
      </c>
      <c r="F107" s="840">
        <v>1233</v>
      </c>
      <c r="G107" s="840">
        <v>5200</v>
      </c>
      <c r="H107" s="830">
        <f t="shared" si="13"/>
        <v>8102</v>
      </c>
      <c r="I107" s="840">
        <v>8044</v>
      </c>
      <c r="J107" s="840">
        <v>58</v>
      </c>
      <c r="K107" s="840">
        <f t="shared" si="8"/>
        <v>42955</v>
      </c>
      <c r="L107" s="843">
        <v>2035</v>
      </c>
      <c r="M107" s="843">
        <v>222</v>
      </c>
      <c r="N107" s="841">
        <v>11149</v>
      </c>
      <c r="O107" s="841">
        <v>9512</v>
      </c>
      <c r="P107" s="841">
        <v>4000</v>
      </c>
      <c r="Q107" s="841">
        <v>16034</v>
      </c>
      <c r="R107" s="841">
        <v>3</v>
      </c>
      <c r="S107" s="841">
        <v>7220</v>
      </c>
      <c r="T107" s="836"/>
      <c r="V107" s="842"/>
      <c r="X107" s="832"/>
      <c r="Y107" s="832"/>
      <c r="AI107" s="837"/>
      <c r="AJ107" s="832"/>
    </row>
    <row r="108" spans="1:36" x14ac:dyDescent="0.2">
      <c r="A108" s="443">
        <v>96</v>
      </c>
      <c r="B108" s="415" t="s">
        <v>205</v>
      </c>
      <c r="C108" s="444" t="s">
        <v>206</v>
      </c>
      <c r="D108" s="840">
        <f t="shared" si="10"/>
        <v>55616</v>
      </c>
      <c r="E108" s="840">
        <f t="shared" si="12"/>
        <v>6652</v>
      </c>
      <c r="F108" s="840">
        <v>1167</v>
      </c>
      <c r="G108" s="840">
        <v>5485</v>
      </c>
      <c r="H108" s="830">
        <f t="shared" si="13"/>
        <v>7693</v>
      </c>
      <c r="I108" s="840">
        <v>7613</v>
      </c>
      <c r="J108" s="840">
        <v>80</v>
      </c>
      <c r="K108" s="840">
        <f t="shared" si="8"/>
        <v>41271</v>
      </c>
      <c r="L108" s="841">
        <v>1926</v>
      </c>
      <c r="M108" s="841">
        <v>42</v>
      </c>
      <c r="N108" s="841">
        <v>6982</v>
      </c>
      <c r="O108" s="841">
        <v>14928</v>
      </c>
      <c r="P108" s="841">
        <v>5961</v>
      </c>
      <c r="Q108" s="841">
        <v>11431</v>
      </c>
      <c r="R108" s="841">
        <v>1</v>
      </c>
      <c r="S108" s="841">
        <v>6929</v>
      </c>
      <c r="T108" s="836"/>
      <c r="V108" s="842"/>
      <c r="X108" s="832"/>
      <c r="Y108" s="832"/>
      <c r="AI108" s="837"/>
      <c r="AJ108" s="832"/>
    </row>
    <row r="109" spans="1:36" x14ac:dyDescent="0.2">
      <c r="A109" s="443">
        <v>97</v>
      </c>
      <c r="B109" s="445" t="s">
        <v>207</v>
      </c>
      <c r="C109" s="444" t="s">
        <v>208</v>
      </c>
      <c r="D109" s="840">
        <f t="shared" si="10"/>
        <v>74440</v>
      </c>
      <c r="E109" s="840">
        <f t="shared" si="12"/>
        <v>8058</v>
      </c>
      <c r="F109" s="840">
        <v>1350</v>
      </c>
      <c r="G109" s="840">
        <v>6708</v>
      </c>
      <c r="H109" s="830">
        <f t="shared" si="13"/>
        <v>8902</v>
      </c>
      <c r="I109" s="840">
        <v>8809</v>
      </c>
      <c r="J109" s="840">
        <v>93</v>
      </c>
      <c r="K109" s="840">
        <f t="shared" si="8"/>
        <v>57480</v>
      </c>
      <c r="L109" s="841">
        <v>2229</v>
      </c>
      <c r="M109" s="841">
        <v>27</v>
      </c>
      <c r="N109" s="841">
        <v>7166</v>
      </c>
      <c r="O109" s="841">
        <v>12992</v>
      </c>
      <c r="P109" s="841">
        <v>9780</v>
      </c>
      <c r="Q109" s="841">
        <v>24820</v>
      </c>
      <c r="R109" s="841">
        <v>466</v>
      </c>
      <c r="S109" s="841">
        <v>6409</v>
      </c>
      <c r="T109" s="836"/>
      <c r="V109" s="842"/>
      <c r="X109" s="832"/>
      <c r="Y109" s="832"/>
      <c r="AI109" s="837"/>
      <c r="AJ109" s="832"/>
    </row>
    <row r="110" spans="1:36" ht="24" x14ac:dyDescent="0.2">
      <c r="A110" s="443">
        <v>98</v>
      </c>
      <c r="B110" s="413" t="s">
        <v>209</v>
      </c>
      <c r="C110" s="446" t="s">
        <v>210</v>
      </c>
      <c r="D110" s="840">
        <f t="shared" si="10"/>
        <v>43950</v>
      </c>
      <c r="E110" s="840">
        <f t="shared" si="12"/>
        <v>5529</v>
      </c>
      <c r="F110" s="840">
        <v>913</v>
      </c>
      <c r="G110" s="840">
        <v>4616</v>
      </c>
      <c r="H110" s="830">
        <f t="shared" si="13"/>
        <v>6030</v>
      </c>
      <c r="I110" s="840">
        <v>5960</v>
      </c>
      <c r="J110" s="840">
        <v>70</v>
      </c>
      <c r="K110" s="840">
        <f t="shared" si="8"/>
        <v>32391</v>
      </c>
      <c r="L110" s="841">
        <v>1508</v>
      </c>
      <c r="M110" s="841">
        <v>186</v>
      </c>
      <c r="N110" s="841">
        <v>5488</v>
      </c>
      <c r="O110" s="841">
        <v>11495</v>
      </c>
      <c r="P110" s="841">
        <v>1113</v>
      </c>
      <c r="Q110" s="841">
        <v>12597</v>
      </c>
      <c r="R110" s="841">
        <v>4</v>
      </c>
      <c r="S110" s="841">
        <v>4346</v>
      </c>
      <c r="T110" s="836"/>
      <c r="V110" s="842"/>
      <c r="X110" s="832"/>
      <c r="Y110" s="832"/>
      <c r="AI110" s="837"/>
      <c r="AJ110" s="832"/>
    </row>
    <row r="111" spans="1:36" ht="24" x14ac:dyDescent="0.2">
      <c r="A111" s="443">
        <v>99</v>
      </c>
      <c r="B111" s="413" t="s">
        <v>211</v>
      </c>
      <c r="C111" s="446" t="s">
        <v>212</v>
      </c>
      <c r="D111" s="840">
        <f t="shared" si="10"/>
        <v>63262</v>
      </c>
      <c r="E111" s="840">
        <f t="shared" si="12"/>
        <v>6960</v>
      </c>
      <c r="F111" s="840">
        <v>1362</v>
      </c>
      <c r="G111" s="840">
        <v>5598</v>
      </c>
      <c r="H111" s="830">
        <f t="shared" si="13"/>
        <v>8942</v>
      </c>
      <c r="I111" s="840">
        <v>8888</v>
      </c>
      <c r="J111" s="840">
        <v>54</v>
      </c>
      <c r="K111" s="840">
        <f t="shared" si="8"/>
        <v>47360</v>
      </c>
      <c r="L111" s="841">
        <v>2249</v>
      </c>
      <c r="M111" s="841">
        <v>69</v>
      </c>
      <c r="N111" s="841">
        <v>9878</v>
      </c>
      <c r="O111" s="841">
        <v>15923</v>
      </c>
      <c r="P111" s="841">
        <v>6150</v>
      </c>
      <c r="Q111" s="841">
        <v>12286</v>
      </c>
      <c r="R111" s="841">
        <v>805</v>
      </c>
      <c r="S111" s="841">
        <v>8378</v>
      </c>
      <c r="T111" s="836"/>
      <c r="V111" s="842"/>
      <c r="X111" s="832"/>
      <c r="Y111" s="832"/>
      <c r="AI111" s="837"/>
      <c r="AJ111" s="832"/>
    </row>
    <row r="112" spans="1:36" x14ac:dyDescent="0.2">
      <c r="A112" s="443">
        <v>100</v>
      </c>
      <c r="B112" s="415" t="s">
        <v>213</v>
      </c>
      <c r="C112" s="444" t="s">
        <v>214</v>
      </c>
      <c r="D112" s="840">
        <f t="shared" si="10"/>
        <v>109998</v>
      </c>
      <c r="E112" s="840">
        <f t="shared" si="12"/>
        <v>11952</v>
      </c>
      <c r="F112" s="840">
        <v>2352</v>
      </c>
      <c r="G112" s="840">
        <v>9600</v>
      </c>
      <c r="H112" s="830">
        <f t="shared" si="13"/>
        <v>15423</v>
      </c>
      <c r="I112" s="840">
        <v>15345</v>
      </c>
      <c r="J112" s="840">
        <v>78</v>
      </c>
      <c r="K112" s="840">
        <f t="shared" si="8"/>
        <v>82623</v>
      </c>
      <c r="L112" s="841">
        <v>3882</v>
      </c>
      <c r="M112" s="841">
        <v>276</v>
      </c>
      <c r="N112" s="841">
        <v>18093</v>
      </c>
      <c r="O112" s="841">
        <v>29664</v>
      </c>
      <c r="P112" s="841">
        <v>4600</v>
      </c>
      <c r="Q112" s="841">
        <v>25359</v>
      </c>
      <c r="R112" s="841">
        <v>749</v>
      </c>
      <c r="S112" s="841">
        <v>12853</v>
      </c>
      <c r="T112" s="836"/>
      <c r="V112" s="842"/>
      <c r="X112" s="832"/>
      <c r="Y112" s="832"/>
      <c r="AI112" s="837"/>
      <c r="AJ112" s="832"/>
    </row>
    <row r="113" spans="1:36" x14ac:dyDescent="0.2">
      <c r="A113" s="443">
        <v>101</v>
      </c>
      <c r="B113" s="445" t="s">
        <v>215</v>
      </c>
      <c r="C113" s="444" t="s">
        <v>216</v>
      </c>
      <c r="D113" s="840">
        <f t="shared" si="10"/>
        <v>49453</v>
      </c>
      <c r="E113" s="840">
        <f t="shared" si="12"/>
        <v>5499</v>
      </c>
      <c r="F113" s="840">
        <v>1076</v>
      </c>
      <c r="G113" s="840">
        <v>4423</v>
      </c>
      <c r="H113" s="830">
        <f t="shared" si="13"/>
        <v>7072</v>
      </c>
      <c r="I113" s="840">
        <v>7018</v>
      </c>
      <c r="J113" s="840">
        <v>54</v>
      </c>
      <c r="K113" s="840">
        <f t="shared" si="8"/>
        <v>36882</v>
      </c>
      <c r="L113" s="841">
        <v>1776</v>
      </c>
      <c r="M113" s="841">
        <v>336</v>
      </c>
      <c r="N113" s="841">
        <v>7195</v>
      </c>
      <c r="O113" s="841">
        <v>16925</v>
      </c>
      <c r="P113" s="841">
        <v>5174</v>
      </c>
      <c r="Q113" s="841">
        <v>5473</v>
      </c>
      <c r="R113" s="841">
        <v>3</v>
      </c>
      <c r="S113" s="841">
        <v>7049</v>
      </c>
      <c r="T113" s="836"/>
      <c r="V113" s="842"/>
      <c r="X113" s="832"/>
      <c r="Y113" s="832"/>
      <c r="AI113" s="837"/>
      <c r="AJ113" s="832"/>
    </row>
    <row r="114" spans="1:36" x14ac:dyDescent="0.2">
      <c r="A114" s="443">
        <v>102</v>
      </c>
      <c r="B114" s="415" t="s">
        <v>217</v>
      </c>
      <c r="C114" s="446" t="s">
        <v>218</v>
      </c>
      <c r="D114" s="840">
        <f t="shared" si="10"/>
        <v>7992</v>
      </c>
      <c r="E114" s="840">
        <f t="shared" si="12"/>
        <v>0</v>
      </c>
      <c r="F114" s="840">
        <v>0</v>
      </c>
      <c r="G114" s="840">
        <v>0</v>
      </c>
      <c r="H114" s="830">
        <f t="shared" si="13"/>
        <v>0</v>
      </c>
      <c r="I114" s="840">
        <v>0</v>
      </c>
      <c r="J114" s="840">
        <v>0</v>
      </c>
      <c r="K114" s="840">
        <f t="shared" si="8"/>
        <v>7992</v>
      </c>
      <c r="L114" s="841">
        <v>0</v>
      </c>
      <c r="M114" s="841">
        <v>0</v>
      </c>
      <c r="N114" s="841">
        <v>28</v>
      </c>
      <c r="O114" s="841">
        <v>7964</v>
      </c>
      <c r="P114" s="841">
        <v>0</v>
      </c>
      <c r="Q114" s="841">
        <v>0</v>
      </c>
      <c r="R114" s="841">
        <v>0</v>
      </c>
      <c r="S114" s="841">
        <v>0</v>
      </c>
      <c r="T114" s="836"/>
      <c r="V114" s="842"/>
      <c r="X114" s="832"/>
      <c r="Y114" s="832"/>
      <c r="AI114" s="837"/>
      <c r="AJ114" s="832"/>
    </row>
    <row r="115" spans="1:36" x14ac:dyDescent="0.2">
      <c r="A115" s="443">
        <v>103</v>
      </c>
      <c r="B115" s="415" t="s">
        <v>219</v>
      </c>
      <c r="C115" s="444" t="s">
        <v>220</v>
      </c>
      <c r="D115" s="840">
        <f t="shared" si="10"/>
        <v>0</v>
      </c>
      <c r="E115" s="840">
        <f t="shared" si="12"/>
        <v>0</v>
      </c>
      <c r="F115" s="840">
        <v>0</v>
      </c>
      <c r="G115" s="840">
        <v>0</v>
      </c>
      <c r="H115" s="830">
        <f t="shared" si="13"/>
        <v>0</v>
      </c>
      <c r="I115" s="840">
        <v>0</v>
      </c>
      <c r="J115" s="840">
        <v>0</v>
      </c>
      <c r="K115" s="840">
        <f t="shared" si="8"/>
        <v>0</v>
      </c>
      <c r="L115" s="841">
        <v>0</v>
      </c>
      <c r="M115" s="841">
        <v>0</v>
      </c>
      <c r="N115" s="841">
        <v>0</v>
      </c>
      <c r="O115" s="841">
        <v>0</v>
      </c>
      <c r="P115" s="841">
        <v>0</v>
      </c>
      <c r="Q115" s="841">
        <v>0</v>
      </c>
      <c r="R115" s="841">
        <v>0</v>
      </c>
      <c r="S115" s="841">
        <v>0</v>
      </c>
      <c r="T115" s="836"/>
      <c r="V115" s="842"/>
      <c r="X115" s="832"/>
      <c r="Y115" s="832"/>
      <c r="AI115" s="837"/>
      <c r="AJ115" s="832"/>
    </row>
    <row r="116" spans="1:36" x14ac:dyDescent="0.2">
      <c r="A116" s="443">
        <v>104</v>
      </c>
      <c r="B116" s="413" t="s">
        <v>221</v>
      </c>
      <c r="C116" s="446" t="s">
        <v>222</v>
      </c>
      <c r="D116" s="840">
        <f t="shared" si="10"/>
        <v>1138</v>
      </c>
      <c r="E116" s="840">
        <f t="shared" si="12"/>
        <v>0</v>
      </c>
      <c r="F116" s="840">
        <v>0</v>
      </c>
      <c r="G116" s="840">
        <v>0</v>
      </c>
      <c r="H116" s="830">
        <f t="shared" si="13"/>
        <v>0</v>
      </c>
      <c r="I116" s="840">
        <v>0</v>
      </c>
      <c r="J116" s="840">
        <v>0</v>
      </c>
      <c r="K116" s="840">
        <f t="shared" si="8"/>
        <v>1138</v>
      </c>
      <c r="L116" s="841">
        <v>0</v>
      </c>
      <c r="M116" s="841">
        <v>0</v>
      </c>
      <c r="N116" s="841">
        <v>0</v>
      </c>
      <c r="O116" s="841">
        <v>1138</v>
      </c>
      <c r="P116" s="841">
        <v>0</v>
      </c>
      <c r="Q116" s="841">
        <v>0</v>
      </c>
      <c r="R116" s="841">
        <v>0</v>
      </c>
      <c r="S116" s="841">
        <v>0</v>
      </c>
      <c r="T116" s="836"/>
      <c r="V116" s="842"/>
      <c r="X116" s="832"/>
      <c r="Y116" s="832"/>
      <c r="AI116" s="837"/>
      <c r="AJ116" s="832"/>
    </row>
    <row r="117" spans="1:36" x14ac:dyDescent="0.2">
      <c r="A117" s="443">
        <v>105</v>
      </c>
      <c r="B117" s="413" t="s">
        <v>223</v>
      </c>
      <c r="C117" s="446" t="s">
        <v>224</v>
      </c>
      <c r="D117" s="840">
        <f t="shared" si="10"/>
        <v>0</v>
      </c>
      <c r="E117" s="840">
        <f t="shared" si="12"/>
        <v>0</v>
      </c>
      <c r="F117" s="840">
        <v>0</v>
      </c>
      <c r="G117" s="840">
        <v>0</v>
      </c>
      <c r="H117" s="830">
        <f t="shared" si="13"/>
        <v>0</v>
      </c>
      <c r="I117" s="840">
        <v>0</v>
      </c>
      <c r="J117" s="840">
        <v>0</v>
      </c>
      <c r="K117" s="840">
        <f t="shared" si="8"/>
        <v>0</v>
      </c>
      <c r="L117" s="841">
        <v>0</v>
      </c>
      <c r="M117" s="841">
        <v>0</v>
      </c>
      <c r="N117" s="841">
        <v>0</v>
      </c>
      <c r="O117" s="841">
        <v>0</v>
      </c>
      <c r="P117" s="841">
        <v>0</v>
      </c>
      <c r="Q117" s="841">
        <v>0</v>
      </c>
      <c r="R117" s="841">
        <v>0</v>
      </c>
      <c r="S117" s="841">
        <v>0</v>
      </c>
      <c r="T117" s="836"/>
      <c r="V117" s="842"/>
      <c r="X117" s="832"/>
      <c r="Y117" s="832"/>
      <c r="AI117" s="837"/>
      <c r="AJ117" s="832"/>
    </row>
    <row r="118" spans="1:36" ht="24" x14ac:dyDescent="0.2">
      <c r="A118" s="443">
        <v>106</v>
      </c>
      <c r="B118" s="413" t="s">
        <v>225</v>
      </c>
      <c r="C118" s="446" t="s">
        <v>226</v>
      </c>
      <c r="D118" s="840">
        <f t="shared" si="10"/>
        <v>0</v>
      </c>
      <c r="E118" s="840">
        <f t="shared" si="12"/>
        <v>0</v>
      </c>
      <c r="F118" s="840">
        <v>0</v>
      </c>
      <c r="G118" s="840">
        <v>0</v>
      </c>
      <c r="H118" s="830">
        <f t="shared" si="13"/>
        <v>0</v>
      </c>
      <c r="I118" s="840">
        <v>0</v>
      </c>
      <c r="J118" s="840">
        <v>0</v>
      </c>
      <c r="K118" s="840">
        <f t="shared" si="8"/>
        <v>0</v>
      </c>
      <c r="L118" s="841">
        <v>0</v>
      </c>
      <c r="M118" s="841">
        <v>0</v>
      </c>
      <c r="N118" s="841">
        <v>0</v>
      </c>
      <c r="O118" s="841">
        <v>0</v>
      </c>
      <c r="P118" s="841">
        <v>0</v>
      </c>
      <c r="Q118" s="841">
        <v>0</v>
      </c>
      <c r="R118" s="841">
        <v>0</v>
      </c>
      <c r="S118" s="841">
        <v>0</v>
      </c>
      <c r="T118" s="836"/>
      <c r="V118" s="842"/>
      <c r="X118" s="832"/>
      <c r="Y118" s="832"/>
      <c r="AI118" s="837"/>
      <c r="AJ118" s="832"/>
    </row>
    <row r="119" spans="1:36" ht="24" x14ac:dyDescent="0.2">
      <c r="A119" s="443">
        <v>107</v>
      </c>
      <c r="B119" s="413" t="s">
        <v>227</v>
      </c>
      <c r="C119" s="446" t="s">
        <v>228</v>
      </c>
      <c r="D119" s="840">
        <f t="shared" si="10"/>
        <v>0</v>
      </c>
      <c r="E119" s="840">
        <f t="shared" si="12"/>
        <v>0</v>
      </c>
      <c r="F119" s="840">
        <v>0</v>
      </c>
      <c r="G119" s="840">
        <v>0</v>
      </c>
      <c r="H119" s="830">
        <f t="shared" si="13"/>
        <v>0</v>
      </c>
      <c r="I119" s="840">
        <v>0</v>
      </c>
      <c r="J119" s="840">
        <v>0</v>
      </c>
      <c r="K119" s="840">
        <f t="shared" si="8"/>
        <v>0</v>
      </c>
      <c r="L119" s="841">
        <v>0</v>
      </c>
      <c r="M119" s="841">
        <v>0</v>
      </c>
      <c r="N119" s="841">
        <v>0</v>
      </c>
      <c r="O119" s="841">
        <v>0</v>
      </c>
      <c r="P119" s="841">
        <v>0</v>
      </c>
      <c r="Q119" s="841">
        <v>0</v>
      </c>
      <c r="R119" s="841">
        <v>0</v>
      </c>
      <c r="S119" s="841">
        <v>0</v>
      </c>
      <c r="T119" s="836"/>
      <c r="V119" s="842"/>
      <c r="X119" s="832"/>
      <c r="Y119" s="832"/>
      <c r="AI119" s="837"/>
      <c r="AJ119" s="832"/>
    </row>
    <row r="120" spans="1:36" x14ac:dyDescent="0.2">
      <c r="A120" s="443">
        <v>108</v>
      </c>
      <c r="B120" s="413" t="s">
        <v>229</v>
      </c>
      <c r="C120" s="446" t="s">
        <v>230</v>
      </c>
      <c r="D120" s="840">
        <f t="shared" si="10"/>
        <v>0</v>
      </c>
      <c r="E120" s="840">
        <f t="shared" si="12"/>
        <v>0</v>
      </c>
      <c r="F120" s="840">
        <v>0</v>
      </c>
      <c r="G120" s="840">
        <v>0</v>
      </c>
      <c r="H120" s="830">
        <f t="shared" si="13"/>
        <v>0</v>
      </c>
      <c r="I120" s="840">
        <v>0</v>
      </c>
      <c r="J120" s="840">
        <v>0</v>
      </c>
      <c r="K120" s="840">
        <f t="shared" si="8"/>
        <v>0</v>
      </c>
      <c r="L120" s="841">
        <v>0</v>
      </c>
      <c r="M120" s="841">
        <v>0</v>
      </c>
      <c r="N120" s="841">
        <v>0</v>
      </c>
      <c r="O120" s="841">
        <v>0</v>
      </c>
      <c r="P120" s="841">
        <v>0</v>
      </c>
      <c r="Q120" s="841">
        <v>0</v>
      </c>
      <c r="R120" s="841">
        <v>0</v>
      </c>
      <c r="S120" s="841">
        <v>0</v>
      </c>
      <c r="T120" s="836"/>
      <c r="V120" s="842"/>
      <c r="X120" s="832"/>
      <c r="Y120" s="832"/>
      <c r="AI120" s="837"/>
      <c r="AJ120" s="832"/>
    </row>
    <row r="121" spans="1:36" ht="24" x14ac:dyDescent="0.2">
      <c r="A121" s="443">
        <v>109</v>
      </c>
      <c r="B121" s="413" t="s">
        <v>231</v>
      </c>
      <c r="C121" s="446" t="s">
        <v>232</v>
      </c>
      <c r="D121" s="840">
        <f t="shared" si="10"/>
        <v>29254</v>
      </c>
      <c r="E121" s="840">
        <f t="shared" si="12"/>
        <v>0</v>
      </c>
      <c r="F121" s="840">
        <v>0</v>
      </c>
      <c r="G121" s="840">
        <v>0</v>
      </c>
      <c r="H121" s="830">
        <f t="shared" si="13"/>
        <v>0</v>
      </c>
      <c r="I121" s="840">
        <v>0</v>
      </c>
      <c r="J121" s="840">
        <v>0</v>
      </c>
      <c r="K121" s="840">
        <f t="shared" si="8"/>
        <v>29254</v>
      </c>
      <c r="L121" s="841">
        <v>0</v>
      </c>
      <c r="M121" s="841">
        <v>0</v>
      </c>
      <c r="N121" s="841">
        <v>8</v>
      </c>
      <c r="O121" s="841">
        <v>29246</v>
      </c>
      <c r="P121" s="841">
        <v>0</v>
      </c>
      <c r="Q121" s="841">
        <v>0</v>
      </c>
      <c r="R121" s="841">
        <v>0</v>
      </c>
      <c r="S121" s="841">
        <v>0</v>
      </c>
      <c r="T121" s="836"/>
      <c r="V121" s="842"/>
      <c r="X121" s="832"/>
      <c r="Y121" s="832"/>
      <c r="AI121" s="837"/>
      <c r="AJ121" s="832"/>
    </row>
    <row r="122" spans="1:36" x14ac:dyDescent="0.2">
      <c r="A122" s="443">
        <v>110</v>
      </c>
      <c r="B122" s="451" t="s">
        <v>233</v>
      </c>
      <c r="C122" s="452" t="s">
        <v>234</v>
      </c>
      <c r="D122" s="840">
        <f t="shared" si="10"/>
        <v>0</v>
      </c>
      <c r="E122" s="840">
        <f t="shared" si="12"/>
        <v>0</v>
      </c>
      <c r="F122" s="840">
        <v>0</v>
      </c>
      <c r="G122" s="840">
        <v>0</v>
      </c>
      <c r="H122" s="830">
        <f t="shared" si="13"/>
        <v>0</v>
      </c>
      <c r="I122" s="840">
        <v>0</v>
      </c>
      <c r="J122" s="840">
        <v>0</v>
      </c>
      <c r="K122" s="840">
        <f t="shared" si="8"/>
        <v>0</v>
      </c>
      <c r="L122" s="841">
        <v>0</v>
      </c>
      <c r="M122" s="841">
        <v>0</v>
      </c>
      <c r="N122" s="841">
        <v>0</v>
      </c>
      <c r="O122" s="841">
        <v>0</v>
      </c>
      <c r="P122" s="841">
        <v>0</v>
      </c>
      <c r="Q122" s="841">
        <v>0</v>
      </c>
      <c r="R122" s="841">
        <v>0</v>
      </c>
      <c r="S122" s="841">
        <v>0</v>
      </c>
      <c r="T122" s="836"/>
      <c r="V122" s="842"/>
      <c r="X122" s="832"/>
      <c r="Y122" s="832"/>
      <c r="AI122" s="837"/>
      <c r="AJ122" s="832"/>
    </row>
    <row r="123" spans="1:36" ht="24" x14ac:dyDescent="0.2">
      <c r="A123" s="443">
        <v>111</v>
      </c>
      <c r="B123" s="451" t="s">
        <v>235</v>
      </c>
      <c r="C123" s="452" t="s">
        <v>236</v>
      </c>
      <c r="D123" s="840">
        <f t="shared" si="10"/>
        <v>130</v>
      </c>
      <c r="E123" s="840">
        <f t="shared" si="12"/>
        <v>0</v>
      </c>
      <c r="F123" s="840">
        <v>0</v>
      </c>
      <c r="G123" s="840">
        <v>0</v>
      </c>
      <c r="H123" s="830">
        <f t="shared" si="13"/>
        <v>0</v>
      </c>
      <c r="I123" s="840">
        <v>0</v>
      </c>
      <c r="J123" s="840">
        <v>0</v>
      </c>
      <c r="K123" s="840">
        <f t="shared" si="8"/>
        <v>130</v>
      </c>
      <c r="L123" s="841">
        <v>0</v>
      </c>
      <c r="M123" s="841">
        <v>0</v>
      </c>
      <c r="N123" s="841">
        <v>0</v>
      </c>
      <c r="O123" s="841">
        <v>130</v>
      </c>
      <c r="P123" s="841">
        <v>0</v>
      </c>
      <c r="Q123" s="841">
        <v>0</v>
      </c>
      <c r="R123" s="841">
        <v>0</v>
      </c>
      <c r="S123" s="841">
        <v>0</v>
      </c>
      <c r="T123" s="836"/>
      <c r="V123" s="842"/>
      <c r="X123" s="832"/>
      <c r="Y123" s="832"/>
      <c r="AI123" s="837"/>
      <c r="AJ123" s="832"/>
    </row>
    <row r="124" spans="1:36" x14ac:dyDescent="0.2">
      <c r="A124" s="443">
        <v>112</v>
      </c>
      <c r="B124" s="445" t="s">
        <v>237</v>
      </c>
      <c r="C124" s="444" t="s">
        <v>238</v>
      </c>
      <c r="D124" s="840">
        <f t="shared" si="10"/>
        <v>0</v>
      </c>
      <c r="E124" s="840">
        <f t="shared" si="12"/>
        <v>0</v>
      </c>
      <c r="F124" s="840">
        <v>0</v>
      </c>
      <c r="G124" s="840">
        <v>0</v>
      </c>
      <c r="H124" s="830">
        <f t="shared" si="13"/>
        <v>0</v>
      </c>
      <c r="I124" s="840">
        <v>0</v>
      </c>
      <c r="J124" s="840">
        <v>0</v>
      </c>
      <c r="K124" s="840">
        <f t="shared" si="8"/>
        <v>0</v>
      </c>
      <c r="L124" s="841">
        <v>0</v>
      </c>
      <c r="M124" s="841">
        <v>0</v>
      </c>
      <c r="N124" s="841">
        <v>0</v>
      </c>
      <c r="O124" s="841">
        <v>0</v>
      </c>
      <c r="P124" s="841">
        <v>0</v>
      </c>
      <c r="Q124" s="841">
        <v>0</v>
      </c>
      <c r="R124" s="841">
        <v>0</v>
      </c>
      <c r="S124" s="841">
        <v>0</v>
      </c>
      <c r="T124" s="836"/>
      <c r="V124" s="842"/>
      <c r="X124" s="832"/>
      <c r="Y124" s="832"/>
      <c r="AI124" s="837"/>
      <c r="AJ124" s="832"/>
    </row>
    <row r="125" spans="1:36" ht="24" x14ac:dyDescent="0.2">
      <c r="A125" s="443">
        <v>113</v>
      </c>
      <c r="B125" s="413" t="s">
        <v>239</v>
      </c>
      <c r="C125" s="446" t="s">
        <v>240</v>
      </c>
      <c r="D125" s="840">
        <f t="shared" si="10"/>
        <v>0</v>
      </c>
      <c r="E125" s="840">
        <f t="shared" si="12"/>
        <v>0</v>
      </c>
      <c r="F125" s="840">
        <v>0</v>
      </c>
      <c r="G125" s="840">
        <v>0</v>
      </c>
      <c r="H125" s="830">
        <f t="shared" si="13"/>
        <v>0</v>
      </c>
      <c r="I125" s="840">
        <v>0</v>
      </c>
      <c r="J125" s="840">
        <v>0</v>
      </c>
      <c r="K125" s="840">
        <f t="shared" si="8"/>
        <v>0</v>
      </c>
      <c r="L125" s="841">
        <v>0</v>
      </c>
      <c r="M125" s="841">
        <v>0</v>
      </c>
      <c r="N125" s="841">
        <v>0</v>
      </c>
      <c r="O125" s="841">
        <v>0</v>
      </c>
      <c r="P125" s="841">
        <v>0</v>
      </c>
      <c r="Q125" s="841">
        <v>0</v>
      </c>
      <c r="R125" s="841">
        <v>0</v>
      </c>
      <c r="S125" s="841">
        <v>0</v>
      </c>
      <c r="T125" s="836"/>
      <c r="V125" s="842"/>
      <c r="X125" s="832"/>
      <c r="Y125" s="832"/>
      <c r="AI125" s="837"/>
      <c r="AJ125" s="832"/>
    </row>
    <row r="126" spans="1:36" ht="24" x14ac:dyDescent="0.2">
      <c r="A126" s="443">
        <v>114</v>
      </c>
      <c r="B126" s="415" t="s">
        <v>241</v>
      </c>
      <c r="C126" s="453" t="s">
        <v>242</v>
      </c>
      <c r="D126" s="840">
        <f t="shared" si="10"/>
        <v>0</v>
      </c>
      <c r="E126" s="840">
        <f t="shared" si="12"/>
        <v>0</v>
      </c>
      <c r="F126" s="840">
        <v>0</v>
      </c>
      <c r="G126" s="840">
        <v>0</v>
      </c>
      <c r="H126" s="830">
        <f t="shared" si="13"/>
        <v>0</v>
      </c>
      <c r="I126" s="840">
        <v>0</v>
      </c>
      <c r="J126" s="840">
        <v>0</v>
      </c>
      <c r="K126" s="840">
        <f t="shared" si="8"/>
        <v>0</v>
      </c>
      <c r="L126" s="841">
        <v>0</v>
      </c>
      <c r="M126" s="841">
        <v>0</v>
      </c>
      <c r="N126" s="841">
        <v>0</v>
      </c>
      <c r="O126" s="841">
        <v>0</v>
      </c>
      <c r="P126" s="841">
        <v>0</v>
      </c>
      <c r="Q126" s="841">
        <v>0</v>
      </c>
      <c r="R126" s="841">
        <v>0</v>
      </c>
      <c r="S126" s="841">
        <v>0</v>
      </c>
      <c r="T126" s="836"/>
      <c r="V126" s="842"/>
      <c r="X126" s="832"/>
      <c r="Y126" s="832"/>
      <c r="AI126" s="837"/>
      <c r="AJ126" s="832"/>
    </row>
    <row r="127" spans="1:36" x14ac:dyDescent="0.2">
      <c r="A127" s="443">
        <v>115</v>
      </c>
      <c r="B127" s="413" t="s">
        <v>243</v>
      </c>
      <c r="C127" s="69" t="s">
        <v>385</v>
      </c>
      <c r="D127" s="840">
        <f t="shared" si="10"/>
        <v>0</v>
      </c>
      <c r="E127" s="840">
        <f t="shared" si="12"/>
        <v>0</v>
      </c>
      <c r="F127" s="840">
        <v>0</v>
      </c>
      <c r="G127" s="840">
        <v>0</v>
      </c>
      <c r="H127" s="830">
        <f t="shared" si="13"/>
        <v>0</v>
      </c>
      <c r="I127" s="840">
        <v>0</v>
      </c>
      <c r="J127" s="840">
        <v>0</v>
      </c>
      <c r="K127" s="840">
        <f t="shared" si="8"/>
        <v>0</v>
      </c>
      <c r="L127" s="841">
        <v>0</v>
      </c>
      <c r="M127" s="841">
        <v>0</v>
      </c>
      <c r="N127" s="841">
        <v>0</v>
      </c>
      <c r="O127" s="841">
        <v>0</v>
      </c>
      <c r="P127" s="841">
        <v>0</v>
      </c>
      <c r="Q127" s="841">
        <v>0</v>
      </c>
      <c r="R127" s="841">
        <v>0</v>
      </c>
      <c r="S127" s="841">
        <v>0</v>
      </c>
      <c r="T127" s="836"/>
      <c r="V127" s="842"/>
      <c r="X127" s="832"/>
      <c r="Y127" s="832"/>
      <c r="AI127" s="837"/>
      <c r="AJ127" s="832"/>
    </row>
    <row r="128" spans="1:36" x14ac:dyDescent="0.2">
      <c r="A128" s="443">
        <v>116</v>
      </c>
      <c r="B128" s="445" t="s">
        <v>244</v>
      </c>
      <c r="C128" s="446" t="s">
        <v>245</v>
      </c>
      <c r="D128" s="840">
        <f t="shared" si="10"/>
        <v>0</v>
      </c>
      <c r="E128" s="840">
        <f t="shared" si="12"/>
        <v>0</v>
      </c>
      <c r="F128" s="840">
        <v>0</v>
      </c>
      <c r="G128" s="840">
        <v>0</v>
      </c>
      <c r="H128" s="830">
        <f t="shared" si="13"/>
        <v>0</v>
      </c>
      <c r="I128" s="840">
        <v>0</v>
      </c>
      <c r="J128" s="840">
        <v>0</v>
      </c>
      <c r="K128" s="840">
        <f t="shared" si="8"/>
        <v>0</v>
      </c>
      <c r="L128" s="841">
        <v>0</v>
      </c>
      <c r="M128" s="841">
        <v>0</v>
      </c>
      <c r="N128" s="841">
        <v>0</v>
      </c>
      <c r="O128" s="841">
        <v>0</v>
      </c>
      <c r="P128" s="841">
        <v>0</v>
      </c>
      <c r="Q128" s="841">
        <v>0</v>
      </c>
      <c r="R128" s="841">
        <v>0</v>
      </c>
      <c r="S128" s="841">
        <v>0</v>
      </c>
      <c r="T128" s="836"/>
      <c r="V128" s="842"/>
      <c r="X128" s="832"/>
      <c r="Y128" s="832"/>
      <c r="AI128" s="837"/>
      <c r="AJ128" s="832"/>
    </row>
    <row r="129" spans="1:36" ht="24" x14ac:dyDescent="0.2">
      <c r="A129" s="443">
        <v>117</v>
      </c>
      <c r="B129" s="445" t="s">
        <v>246</v>
      </c>
      <c r="C129" s="446" t="s">
        <v>247</v>
      </c>
      <c r="D129" s="840">
        <f t="shared" si="10"/>
        <v>0</v>
      </c>
      <c r="E129" s="840">
        <f t="shared" si="12"/>
        <v>0</v>
      </c>
      <c r="F129" s="840">
        <v>0</v>
      </c>
      <c r="G129" s="840">
        <v>0</v>
      </c>
      <c r="H129" s="830">
        <f t="shared" si="13"/>
        <v>0</v>
      </c>
      <c r="I129" s="840">
        <v>0</v>
      </c>
      <c r="J129" s="840">
        <v>0</v>
      </c>
      <c r="K129" s="840">
        <f t="shared" si="8"/>
        <v>0</v>
      </c>
      <c r="L129" s="841">
        <v>0</v>
      </c>
      <c r="M129" s="841">
        <v>0</v>
      </c>
      <c r="N129" s="841">
        <v>0</v>
      </c>
      <c r="O129" s="841">
        <v>0</v>
      </c>
      <c r="P129" s="841">
        <v>0</v>
      </c>
      <c r="Q129" s="841">
        <v>0</v>
      </c>
      <c r="R129" s="841">
        <v>0</v>
      </c>
      <c r="S129" s="841">
        <v>0</v>
      </c>
      <c r="T129" s="836"/>
      <c r="V129" s="842"/>
      <c r="X129" s="832"/>
      <c r="Y129" s="832"/>
      <c r="AI129" s="837"/>
      <c r="AJ129" s="832"/>
    </row>
    <row r="130" spans="1:36" x14ac:dyDescent="0.2">
      <c r="A130" s="443">
        <v>118</v>
      </c>
      <c r="B130" s="445" t="s">
        <v>248</v>
      </c>
      <c r="C130" s="446" t="s">
        <v>249</v>
      </c>
      <c r="D130" s="840">
        <f t="shared" si="10"/>
        <v>0</v>
      </c>
      <c r="E130" s="840">
        <f t="shared" si="12"/>
        <v>0</v>
      </c>
      <c r="F130" s="840">
        <v>0</v>
      </c>
      <c r="G130" s="840">
        <v>0</v>
      </c>
      <c r="H130" s="830">
        <f t="shared" si="13"/>
        <v>0</v>
      </c>
      <c r="I130" s="840">
        <v>0</v>
      </c>
      <c r="J130" s="840">
        <v>0</v>
      </c>
      <c r="K130" s="840">
        <f t="shared" si="8"/>
        <v>0</v>
      </c>
      <c r="L130" s="841">
        <v>0</v>
      </c>
      <c r="M130" s="841">
        <v>0</v>
      </c>
      <c r="N130" s="841">
        <v>0</v>
      </c>
      <c r="O130" s="841">
        <v>0</v>
      </c>
      <c r="P130" s="841">
        <v>0</v>
      </c>
      <c r="Q130" s="841">
        <v>0</v>
      </c>
      <c r="R130" s="841">
        <v>0</v>
      </c>
      <c r="S130" s="841">
        <v>0</v>
      </c>
      <c r="T130" s="836"/>
      <c r="V130" s="842"/>
      <c r="X130" s="832"/>
      <c r="Y130" s="832"/>
      <c r="AI130" s="837"/>
      <c r="AJ130" s="832"/>
    </row>
    <row r="131" spans="1:36" x14ac:dyDescent="0.2">
      <c r="A131" s="443">
        <v>119</v>
      </c>
      <c r="B131" s="415" t="s">
        <v>250</v>
      </c>
      <c r="C131" s="444" t="s">
        <v>251</v>
      </c>
      <c r="D131" s="840">
        <f t="shared" si="10"/>
        <v>1391</v>
      </c>
      <c r="E131" s="840">
        <f t="shared" si="12"/>
        <v>0</v>
      </c>
      <c r="F131" s="841">
        <v>0</v>
      </c>
      <c r="G131" s="841">
        <v>0</v>
      </c>
      <c r="H131" s="830">
        <f t="shared" si="13"/>
        <v>0</v>
      </c>
      <c r="I131" s="841">
        <v>0</v>
      </c>
      <c r="J131" s="841">
        <v>0</v>
      </c>
      <c r="K131" s="840">
        <f t="shared" si="8"/>
        <v>1391</v>
      </c>
      <c r="L131" s="841">
        <v>0</v>
      </c>
      <c r="M131" s="841">
        <v>0</v>
      </c>
      <c r="N131" s="841">
        <v>8</v>
      </c>
      <c r="O131" s="841">
        <v>1383</v>
      </c>
      <c r="P131" s="841">
        <v>0</v>
      </c>
      <c r="Q131" s="841">
        <v>0</v>
      </c>
      <c r="R131" s="841">
        <v>0</v>
      </c>
      <c r="S131" s="841">
        <v>0</v>
      </c>
      <c r="T131" s="836"/>
      <c r="V131" s="842"/>
      <c r="X131" s="832"/>
      <c r="Y131" s="832"/>
      <c r="AI131" s="837"/>
      <c r="AJ131" s="832"/>
    </row>
    <row r="132" spans="1:36" x14ac:dyDescent="0.2">
      <c r="A132" s="443">
        <v>120</v>
      </c>
      <c r="B132" s="445" t="s">
        <v>252</v>
      </c>
      <c r="C132" s="444" t="s">
        <v>253</v>
      </c>
      <c r="D132" s="840">
        <f t="shared" si="10"/>
        <v>0</v>
      </c>
      <c r="E132" s="840">
        <f t="shared" si="12"/>
        <v>0</v>
      </c>
      <c r="F132" s="841">
        <v>0</v>
      </c>
      <c r="G132" s="841">
        <v>0</v>
      </c>
      <c r="H132" s="830">
        <f t="shared" si="13"/>
        <v>0</v>
      </c>
      <c r="I132" s="841">
        <v>0</v>
      </c>
      <c r="J132" s="841">
        <v>0</v>
      </c>
      <c r="K132" s="840">
        <f t="shared" si="8"/>
        <v>0</v>
      </c>
      <c r="L132" s="841">
        <v>0</v>
      </c>
      <c r="M132" s="841">
        <v>0</v>
      </c>
      <c r="N132" s="841">
        <v>0</v>
      </c>
      <c r="O132" s="841">
        <v>0</v>
      </c>
      <c r="P132" s="841">
        <v>0</v>
      </c>
      <c r="Q132" s="841">
        <v>0</v>
      </c>
      <c r="R132" s="841">
        <v>0</v>
      </c>
      <c r="S132" s="841">
        <v>0</v>
      </c>
      <c r="T132" s="836"/>
      <c r="V132" s="842"/>
      <c r="X132" s="832"/>
      <c r="Y132" s="832"/>
      <c r="AI132" s="837"/>
      <c r="AJ132" s="832"/>
    </row>
    <row r="133" spans="1:36" x14ac:dyDescent="0.2">
      <c r="A133" s="443">
        <v>121</v>
      </c>
      <c r="B133" s="413" t="s">
        <v>254</v>
      </c>
      <c r="C133" s="446" t="s">
        <v>255</v>
      </c>
      <c r="D133" s="840">
        <f t="shared" si="10"/>
        <v>9754</v>
      </c>
      <c r="E133" s="840">
        <f t="shared" si="12"/>
        <v>0</v>
      </c>
      <c r="F133" s="841">
        <v>0</v>
      </c>
      <c r="G133" s="841">
        <v>0</v>
      </c>
      <c r="H133" s="830">
        <f t="shared" si="13"/>
        <v>0</v>
      </c>
      <c r="I133" s="841">
        <v>0</v>
      </c>
      <c r="J133" s="841">
        <v>0</v>
      </c>
      <c r="K133" s="840">
        <f t="shared" si="8"/>
        <v>9754</v>
      </c>
      <c r="L133" s="841">
        <v>0</v>
      </c>
      <c r="M133" s="841">
        <v>0</v>
      </c>
      <c r="N133" s="841">
        <v>12</v>
      </c>
      <c r="O133" s="841">
        <v>9742</v>
      </c>
      <c r="P133" s="841">
        <v>0</v>
      </c>
      <c r="Q133" s="841">
        <v>0</v>
      </c>
      <c r="R133" s="841">
        <v>0</v>
      </c>
      <c r="S133" s="841">
        <v>0</v>
      </c>
      <c r="T133" s="836"/>
      <c r="V133" s="842"/>
      <c r="X133" s="832"/>
      <c r="Y133" s="832"/>
      <c r="AI133" s="837"/>
      <c r="AJ133" s="832"/>
    </row>
    <row r="134" spans="1:36" x14ac:dyDescent="0.2">
      <c r="A134" s="443">
        <v>122</v>
      </c>
      <c r="B134" s="413" t="s">
        <v>256</v>
      </c>
      <c r="C134" s="446" t="s">
        <v>257</v>
      </c>
      <c r="D134" s="840">
        <f t="shared" si="10"/>
        <v>0</v>
      </c>
      <c r="E134" s="840">
        <f t="shared" si="12"/>
        <v>0</v>
      </c>
      <c r="F134" s="841">
        <v>0</v>
      </c>
      <c r="G134" s="841">
        <v>0</v>
      </c>
      <c r="H134" s="830">
        <f t="shared" si="13"/>
        <v>0</v>
      </c>
      <c r="I134" s="841">
        <v>0</v>
      </c>
      <c r="J134" s="841">
        <v>0</v>
      </c>
      <c r="K134" s="840">
        <f t="shared" si="8"/>
        <v>0</v>
      </c>
      <c r="L134" s="841">
        <v>0</v>
      </c>
      <c r="M134" s="841">
        <v>0</v>
      </c>
      <c r="N134" s="841">
        <v>0</v>
      </c>
      <c r="O134" s="841">
        <v>0</v>
      </c>
      <c r="P134" s="841">
        <v>0</v>
      </c>
      <c r="Q134" s="841">
        <v>0</v>
      </c>
      <c r="R134" s="841">
        <v>0</v>
      </c>
      <c r="S134" s="841">
        <v>0</v>
      </c>
      <c r="T134" s="836"/>
      <c r="V134" s="842"/>
      <c r="X134" s="832"/>
      <c r="Y134" s="832"/>
      <c r="AI134" s="837"/>
      <c r="AJ134" s="832"/>
    </row>
    <row r="135" spans="1:36" x14ac:dyDescent="0.2">
      <c r="A135" s="443">
        <v>123</v>
      </c>
      <c r="B135" s="413" t="s">
        <v>258</v>
      </c>
      <c r="C135" s="446" t="s">
        <v>259</v>
      </c>
      <c r="D135" s="840">
        <f t="shared" si="10"/>
        <v>216231</v>
      </c>
      <c r="E135" s="840">
        <f t="shared" si="12"/>
        <v>0</v>
      </c>
      <c r="F135" s="841">
        <v>0</v>
      </c>
      <c r="G135" s="841">
        <v>0</v>
      </c>
      <c r="H135" s="830">
        <f t="shared" si="13"/>
        <v>0</v>
      </c>
      <c r="I135" s="841">
        <v>0</v>
      </c>
      <c r="J135" s="841">
        <v>0</v>
      </c>
      <c r="K135" s="840">
        <f t="shared" si="8"/>
        <v>216231</v>
      </c>
      <c r="L135" s="841">
        <v>0</v>
      </c>
      <c r="M135" s="841">
        <v>0</v>
      </c>
      <c r="N135" s="841">
        <v>0</v>
      </c>
      <c r="O135" s="841">
        <v>216231</v>
      </c>
      <c r="P135" s="841">
        <v>0</v>
      </c>
      <c r="Q135" s="841">
        <v>0</v>
      </c>
      <c r="R135" s="841">
        <v>0</v>
      </c>
      <c r="S135" s="841">
        <v>0</v>
      </c>
      <c r="T135" s="836"/>
      <c r="V135" s="842"/>
      <c r="X135" s="832"/>
      <c r="Y135" s="832"/>
      <c r="AI135" s="837"/>
      <c r="AJ135" s="832"/>
    </row>
    <row r="136" spans="1:36" x14ac:dyDescent="0.2">
      <c r="A136" s="443">
        <v>124</v>
      </c>
      <c r="B136" s="413" t="s">
        <v>260</v>
      </c>
      <c r="C136" s="446" t="s">
        <v>261</v>
      </c>
      <c r="D136" s="840">
        <f t="shared" si="10"/>
        <v>130000</v>
      </c>
      <c r="E136" s="840">
        <f t="shared" si="12"/>
        <v>0</v>
      </c>
      <c r="F136" s="841">
        <v>0</v>
      </c>
      <c r="G136" s="841">
        <v>0</v>
      </c>
      <c r="H136" s="830">
        <f t="shared" si="13"/>
        <v>0</v>
      </c>
      <c r="I136" s="841">
        <v>0</v>
      </c>
      <c r="J136" s="841">
        <v>0</v>
      </c>
      <c r="K136" s="840">
        <f t="shared" si="8"/>
        <v>130000</v>
      </c>
      <c r="L136" s="841">
        <v>0</v>
      </c>
      <c r="M136" s="841">
        <v>0</v>
      </c>
      <c r="N136" s="841">
        <v>0</v>
      </c>
      <c r="O136" s="841">
        <v>130000</v>
      </c>
      <c r="P136" s="841">
        <v>0</v>
      </c>
      <c r="Q136" s="841">
        <v>0</v>
      </c>
      <c r="R136" s="841">
        <v>0</v>
      </c>
      <c r="S136" s="841">
        <v>0</v>
      </c>
      <c r="T136" s="836"/>
      <c r="V136" s="842"/>
      <c r="X136" s="832"/>
      <c r="Y136" s="832"/>
      <c r="AI136" s="837"/>
      <c r="AJ136" s="832"/>
    </row>
    <row r="137" spans="1:36" x14ac:dyDescent="0.2">
      <c r="A137" s="443">
        <v>125</v>
      </c>
      <c r="B137" s="413" t="s">
        <v>262</v>
      </c>
      <c r="C137" s="446" t="s">
        <v>263</v>
      </c>
      <c r="D137" s="840">
        <f t="shared" si="10"/>
        <v>85000</v>
      </c>
      <c r="E137" s="840">
        <f t="shared" si="12"/>
        <v>0</v>
      </c>
      <c r="F137" s="841">
        <v>0</v>
      </c>
      <c r="G137" s="841">
        <v>0</v>
      </c>
      <c r="H137" s="830">
        <f t="shared" si="13"/>
        <v>0</v>
      </c>
      <c r="I137" s="841">
        <v>0</v>
      </c>
      <c r="J137" s="841">
        <v>0</v>
      </c>
      <c r="K137" s="840">
        <f t="shared" si="8"/>
        <v>85000</v>
      </c>
      <c r="L137" s="841">
        <v>0</v>
      </c>
      <c r="M137" s="841">
        <v>0</v>
      </c>
      <c r="N137" s="841">
        <v>0</v>
      </c>
      <c r="O137" s="841">
        <v>85000</v>
      </c>
      <c r="P137" s="841">
        <v>0</v>
      </c>
      <c r="Q137" s="841">
        <v>0</v>
      </c>
      <c r="R137" s="841">
        <v>0</v>
      </c>
      <c r="S137" s="841">
        <v>0</v>
      </c>
      <c r="T137" s="836"/>
      <c r="V137" s="842"/>
      <c r="X137" s="832"/>
      <c r="Y137" s="832"/>
      <c r="AI137" s="837"/>
      <c r="AJ137" s="832"/>
    </row>
    <row r="138" spans="1:36" x14ac:dyDescent="0.2">
      <c r="A138" s="443">
        <v>126</v>
      </c>
      <c r="B138" s="415" t="s">
        <v>264</v>
      </c>
      <c r="C138" s="444" t="s">
        <v>265</v>
      </c>
      <c r="D138" s="840">
        <f t="shared" si="10"/>
        <v>114092</v>
      </c>
      <c r="E138" s="840">
        <f t="shared" si="12"/>
        <v>0</v>
      </c>
      <c r="F138" s="841">
        <v>0</v>
      </c>
      <c r="G138" s="841">
        <v>0</v>
      </c>
      <c r="H138" s="830">
        <f t="shared" si="13"/>
        <v>0</v>
      </c>
      <c r="I138" s="841">
        <v>0</v>
      </c>
      <c r="J138" s="841">
        <v>0</v>
      </c>
      <c r="K138" s="840">
        <f t="shared" si="8"/>
        <v>114092</v>
      </c>
      <c r="L138" s="841">
        <v>0</v>
      </c>
      <c r="M138" s="841">
        <v>0</v>
      </c>
      <c r="N138" s="841">
        <v>0</v>
      </c>
      <c r="O138" s="841">
        <v>114092</v>
      </c>
      <c r="P138" s="841">
        <v>0</v>
      </c>
      <c r="Q138" s="841">
        <v>0</v>
      </c>
      <c r="R138" s="841">
        <v>0</v>
      </c>
      <c r="S138" s="841">
        <v>0</v>
      </c>
      <c r="T138" s="836"/>
      <c r="V138" s="842"/>
      <c r="X138" s="832"/>
      <c r="Y138" s="832"/>
      <c r="AI138" s="837"/>
      <c r="AJ138" s="832"/>
    </row>
    <row r="139" spans="1:36" x14ac:dyDescent="0.2">
      <c r="A139" s="443">
        <v>127</v>
      </c>
      <c r="B139" s="415" t="s">
        <v>266</v>
      </c>
      <c r="C139" s="446" t="s">
        <v>267</v>
      </c>
      <c r="D139" s="840">
        <f t="shared" si="10"/>
        <v>87522</v>
      </c>
      <c r="E139" s="840">
        <f t="shared" si="12"/>
        <v>0</v>
      </c>
      <c r="F139" s="841">
        <v>0</v>
      </c>
      <c r="G139" s="841">
        <v>0</v>
      </c>
      <c r="H139" s="830">
        <f t="shared" si="13"/>
        <v>0</v>
      </c>
      <c r="I139" s="841">
        <v>0</v>
      </c>
      <c r="J139" s="841">
        <v>0</v>
      </c>
      <c r="K139" s="840">
        <f t="shared" ref="K139:K152" si="14">SUM(L139:R139)</f>
        <v>87522</v>
      </c>
      <c r="L139" s="841">
        <v>0</v>
      </c>
      <c r="M139" s="841">
        <v>0</v>
      </c>
      <c r="N139" s="841">
        <v>0</v>
      </c>
      <c r="O139" s="841">
        <v>75721</v>
      </c>
      <c r="P139" s="841">
        <v>0</v>
      </c>
      <c r="Q139" s="841">
        <v>11801</v>
      </c>
      <c r="R139" s="841">
        <v>0</v>
      </c>
      <c r="S139" s="841">
        <v>0</v>
      </c>
      <c r="T139" s="836"/>
      <c r="V139" s="842"/>
      <c r="X139" s="832"/>
      <c r="Y139" s="832"/>
      <c r="AI139" s="837"/>
      <c r="AJ139" s="832"/>
    </row>
    <row r="140" spans="1:36" x14ac:dyDescent="0.2">
      <c r="A140" s="443">
        <v>128</v>
      </c>
      <c r="B140" s="447" t="s">
        <v>268</v>
      </c>
      <c r="C140" s="448" t="s">
        <v>269</v>
      </c>
      <c r="D140" s="840">
        <f t="shared" si="10"/>
        <v>55775</v>
      </c>
      <c r="E140" s="840">
        <f t="shared" si="12"/>
        <v>0</v>
      </c>
      <c r="F140" s="841">
        <v>0</v>
      </c>
      <c r="G140" s="841">
        <v>0</v>
      </c>
      <c r="H140" s="830">
        <f t="shared" si="13"/>
        <v>0</v>
      </c>
      <c r="I140" s="841">
        <v>0</v>
      </c>
      <c r="J140" s="841">
        <v>0</v>
      </c>
      <c r="K140" s="840">
        <f t="shared" si="14"/>
        <v>55775</v>
      </c>
      <c r="L140" s="841">
        <v>0</v>
      </c>
      <c r="M140" s="841">
        <v>0</v>
      </c>
      <c r="N140" s="841">
        <v>0</v>
      </c>
      <c r="O140" s="841">
        <v>31644</v>
      </c>
      <c r="P140" s="841">
        <v>0</v>
      </c>
      <c r="Q140" s="841">
        <v>24131</v>
      </c>
      <c r="R140" s="841">
        <v>0</v>
      </c>
      <c r="S140" s="841">
        <v>0</v>
      </c>
      <c r="T140" s="836"/>
      <c r="V140" s="842"/>
      <c r="X140" s="832"/>
      <c r="Y140" s="832"/>
      <c r="AI140" s="837"/>
      <c r="AJ140" s="832"/>
    </row>
    <row r="141" spans="1:36" x14ac:dyDescent="0.2">
      <c r="A141" s="443">
        <v>129</v>
      </c>
      <c r="B141" s="413" t="s">
        <v>270</v>
      </c>
      <c r="C141" s="446" t="s">
        <v>271</v>
      </c>
      <c r="D141" s="840">
        <f t="shared" si="10"/>
        <v>78000</v>
      </c>
      <c r="E141" s="840">
        <f t="shared" si="12"/>
        <v>0</v>
      </c>
      <c r="F141" s="841">
        <v>0</v>
      </c>
      <c r="G141" s="841">
        <v>0</v>
      </c>
      <c r="H141" s="830">
        <f t="shared" si="13"/>
        <v>0</v>
      </c>
      <c r="I141" s="841">
        <v>0</v>
      </c>
      <c r="J141" s="841">
        <v>0</v>
      </c>
      <c r="K141" s="840">
        <f t="shared" si="14"/>
        <v>78000</v>
      </c>
      <c r="L141" s="841">
        <v>0</v>
      </c>
      <c r="M141" s="841">
        <v>0</v>
      </c>
      <c r="N141" s="841">
        <v>0</v>
      </c>
      <c r="O141" s="841">
        <v>78000</v>
      </c>
      <c r="P141" s="841">
        <v>0</v>
      </c>
      <c r="Q141" s="841">
        <v>0</v>
      </c>
      <c r="R141" s="841">
        <v>0</v>
      </c>
      <c r="S141" s="841">
        <v>0</v>
      </c>
      <c r="T141" s="836"/>
      <c r="V141" s="842"/>
      <c r="X141" s="832"/>
      <c r="Y141" s="832"/>
      <c r="AI141" s="837"/>
      <c r="AJ141" s="832"/>
    </row>
    <row r="142" spans="1:36" x14ac:dyDescent="0.2">
      <c r="A142" s="443">
        <v>130</v>
      </c>
      <c r="B142" s="413" t="s">
        <v>272</v>
      </c>
      <c r="C142" s="446" t="s">
        <v>273</v>
      </c>
      <c r="D142" s="840">
        <f t="shared" si="10"/>
        <v>11877</v>
      </c>
      <c r="E142" s="840">
        <f t="shared" si="12"/>
        <v>0</v>
      </c>
      <c r="F142" s="841">
        <v>0</v>
      </c>
      <c r="G142" s="841">
        <v>0</v>
      </c>
      <c r="H142" s="830">
        <f t="shared" si="13"/>
        <v>0</v>
      </c>
      <c r="I142" s="841">
        <v>0</v>
      </c>
      <c r="J142" s="841">
        <v>0</v>
      </c>
      <c r="K142" s="840">
        <f t="shared" si="14"/>
        <v>11877</v>
      </c>
      <c r="L142" s="841">
        <v>0</v>
      </c>
      <c r="M142" s="841">
        <v>0</v>
      </c>
      <c r="N142" s="841">
        <v>0</v>
      </c>
      <c r="O142" s="841">
        <v>182</v>
      </c>
      <c r="P142" s="841">
        <v>0</v>
      </c>
      <c r="Q142" s="841">
        <v>11695</v>
      </c>
      <c r="R142" s="841">
        <v>0</v>
      </c>
      <c r="S142" s="841">
        <v>0</v>
      </c>
      <c r="T142" s="836"/>
      <c r="V142" s="842"/>
      <c r="X142" s="832"/>
      <c r="Y142" s="832"/>
      <c r="AI142" s="837"/>
      <c r="AJ142" s="832"/>
    </row>
    <row r="143" spans="1:36" x14ac:dyDescent="0.2">
      <c r="A143" s="443">
        <v>131</v>
      </c>
      <c r="B143" s="413" t="s">
        <v>274</v>
      </c>
      <c r="C143" s="446" t="s">
        <v>275</v>
      </c>
      <c r="D143" s="840">
        <f t="shared" si="10"/>
        <v>57392</v>
      </c>
      <c r="E143" s="840">
        <f t="shared" si="12"/>
        <v>0</v>
      </c>
      <c r="F143" s="841">
        <v>0</v>
      </c>
      <c r="G143" s="841">
        <v>0</v>
      </c>
      <c r="H143" s="830">
        <f t="shared" si="13"/>
        <v>0</v>
      </c>
      <c r="I143" s="841">
        <v>0</v>
      </c>
      <c r="J143" s="841">
        <v>0</v>
      </c>
      <c r="K143" s="840">
        <f t="shared" si="14"/>
        <v>57392</v>
      </c>
      <c r="L143" s="841">
        <v>0</v>
      </c>
      <c r="M143" s="841">
        <v>0</v>
      </c>
      <c r="N143" s="841">
        <v>0</v>
      </c>
      <c r="O143" s="841">
        <v>57392</v>
      </c>
      <c r="P143" s="841">
        <v>0</v>
      </c>
      <c r="Q143" s="841">
        <v>0</v>
      </c>
      <c r="R143" s="841">
        <v>0</v>
      </c>
      <c r="S143" s="841">
        <v>0</v>
      </c>
      <c r="T143" s="836"/>
      <c r="V143" s="842"/>
      <c r="X143" s="832"/>
      <c r="Y143" s="832"/>
      <c r="AI143" s="837"/>
      <c r="AJ143" s="832"/>
    </row>
    <row r="144" spans="1:36" x14ac:dyDescent="0.2">
      <c r="A144" s="443">
        <v>132</v>
      </c>
      <c r="B144" s="447" t="s">
        <v>276</v>
      </c>
      <c r="C144" s="448" t="s">
        <v>277</v>
      </c>
      <c r="D144" s="840">
        <f t="shared" si="10"/>
        <v>85245</v>
      </c>
      <c r="E144" s="840">
        <f t="shared" si="12"/>
        <v>4023</v>
      </c>
      <c r="F144" s="841">
        <v>4023</v>
      </c>
      <c r="G144" s="841">
        <v>0</v>
      </c>
      <c r="H144" s="830">
        <f t="shared" si="13"/>
        <v>26251</v>
      </c>
      <c r="I144" s="841">
        <v>26251</v>
      </c>
      <c r="J144" s="841">
        <v>0</v>
      </c>
      <c r="K144" s="840">
        <f t="shared" si="14"/>
        <v>54971</v>
      </c>
      <c r="L144" s="841">
        <v>6642</v>
      </c>
      <c r="M144" s="841">
        <v>906</v>
      </c>
      <c r="N144" s="841">
        <v>25255</v>
      </c>
      <c r="O144" s="841">
        <v>13142</v>
      </c>
      <c r="P144" s="841">
        <v>0</v>
      </c>
      <c r="Q144" s="841">
        <v>7822</v>
      </c>
      <c r="R144" s="841">
        <v>1204</v>
      </c>
      <c r="S144" s="841">
        <v>20130</v>
      </c>
      <c r="T144" s="836"/>
      <c r="V144" s="842"/>
      <c r="X144" s="832"/>
      <c r="Y144" s="832"/>
      <c r="AI144" s="837"/>
      <c r="AJ144" s="832"/>
    </row>
    <row r="145" spans="1:36" x14ac:dyDescent="0.2">
      <c r="A145" s="443">
        <v>133</v>
      </c>
      <c r="B145" s="445" t="s">
        <v>278</v>
      </c>
      <c r="C145" s="448" t="s">
        <v>279</v>
      </c>
      <c r="D145" s="840">
        <f t="shared" si="10"/>
        <v>246545</v>
      </c>
      <c r="E145" s="840">
        <f t="shared" si="12"/>
        <v>28885</v>
      </c>
      <c r="F145" s="841">
        <v>6042</v>
      </c>
      <c r="G145" s="841">
        <v>22843</v>
      </c>
      <c r="H145" s="830">
        <f t="shared" si="13"/>
        <v>39550</v>
      </c>
      <c r="I145" s="841">
        <v>39435</v>
      </c>
      <c r="J145" s="841">
        <v>115</v>
      </c>
      <c r="K145" s="840">
        <f t="shared" si="14"/>
        <v>178110</v>
      </c>
      <c r="L145" s="841">
        <v>9976</v>
      </c>
      <c r="M145" s="841">
        <v>1287</v>
      </c>
      <c r="N145" s="841">
        <v>40291</v>
      </c>
      <c r="O145" s="841">
        <v>60746</v>
      </c>
      <c r="P145" s="841">
        <v>2770</v>
      </c>
      <c r="Q145" s="841">
        <v>60740</v>
      </c>
      <c r="R145" s="841">
        <v>2300</v>
      </c>
      <c r="S145" s="841">
        <v>26910</v>
      </c>
      <c r="T145" s="836"/>
      <c r="V145" s="842"/>
      <c r="X145" s="832"/>
      <c r="Y145" s="832"/>
      <c r="AI145" s="837"/>
      <c r="AJ145" s="832"/>
    </row>
    <row r="146" spans="1:36" x14ac:dyDescent="0.2">
      <c r="A146" s="443">
        <v>134</v>
      </c>
      <c r="B146" s="413" t="s">
        <v>280</v>
      </c>
      <c r="C146" s="446" t="s">
        <v>281</v>
      </c>
      <c r="D146" s="840">
        <f t="shared" si="10"/>
        <v>4650</v>
      </c>
      <c r="E146" s="840">
        <f t="shared" si="12"/>
        <v>0</v>
      </c>
      <c r="F146" s="841">
        <v>0</v>
      </c>
      <c r="G146" s="841">
        <v>0</v>
      </c>
      <c r="H146" s="830">
        <f t="shared" si="13"/>
        <v>0</v>
      </c>
      <c r="I146" s="841">
        <v>0</v>
      </c>
      <c r="J146" s="841">
        <v>0</v>
      </c>
      <c r="K146" s="840">
        <f t="shared" si="14"/>
        <v>4650</v>
      </c>
      <c r="L146" s="841">
        <v>0</v>
      </c>
      <c r="M146" s="841">
        <v>0</v>
      </c>
      <c r="N146" s="841">
        <v>0</v>
      </c>
      <c r="O146" s="841">
        <v>4650</v>
      </c>
      <c r="P146" s="841">
        <v>0</v>
      </c>
      <c r="Q146" s="841">
        <v>0</v>
      </c>
      <c r="R146" s="841">
        <v>0</v>
      </c>
      <c r="S146" s="841">
        <v>0</v>
      </c>
      <c r="T146" s="836"/>
      <c r="V146" s="842"/>
      <c r="X146" s="832"/>
      <c r="Y146" s="832"/>
      <c r="AI146" s="837"/>
      <c r="AJ146" s="832"/>
    </row>
    <row r="147" spans="1:36" x14ac:dyDescent="0.2">
      <c r="A147" s="443">
        <v>135</v>
      </c>
      <c r="B147" s="415" t="s">
        <v>282</v>
      </c>
      <c r="C147" s="444" t="s">
        <v>283</v>
      </c>
      <c r="D147" s="840">
        <f t="shared" si="10"/>
        <v>14805</v>
      </c>
      <c r="E147" s="840">
        <f t="shared" si="12"/>
        <v>0</v>
      </c>
      <c r="F147" s="841">
        <v>0</v>
      </c>
      <c r="G147" s="841">
        <v>0</v>
      </c>
      <c r="H147" s="830">
        <f t="shared" si="13"/>
        <v>0</v>
      </c>
      <c r="I147" s="841">
        <v>0</v>
      </c>
      <c r="J147" s="841">
        <v>0</v>
      </c>
      <c r="K147" s="840">
        <f t="shared" si="14"/>
        <v>14805</v>
      </c>
      <c r="L147" s="841">
        <v>0</v>
      </c>
      <c r="M147" s="841">
        <v>0</v>
      </c>
      <c r="N147" s="841">
        <v>0</v>
      </c>
      <c r="O147" s="841">
        <v>14805</v>
      </c>
      <c r="P147" s="841">
        <v>0</v>
      </c>
      <c r="Q147" s="841">
        <v>0</v>
      </c>
      <c r="R147" s="841">
        <v>0</v>
      </c>
      <c r="S147" s="841">
        <v>0</v>
      </c>
      <c r="T147" s="836"/>
      <c r="V147" s="842"/>
      <c r="X147" s="832"/>
      <c r="Y147" s="832"/>
      <c r="AI147" s="837"/>
      <c r="AJ147" s="832"/>
    </row>
    <row r="148" spans="1:36" ht="24" x14ac:dyDescent="0.2">
      <c r="A148" s="443">
        <v>136</v>
      </c>
      <c r="B148" s="413" t="s">
        <v>284</v>
      </c>
      <c r="C148" s="446" t="s">
        <v>285</v>
      </c>
      <c r="D148" s="840">
        <f t="shared" si="10"/>
        <v>0</v>
      </c>
      <c r="E148" s="840">
        <f t="shared" si="12"/>
        <v>0</v>
      </c>
      <c r="F148" s="841">
        <v>0</v>
      </c>
      <c r="G148" s="841">
        <v>0</v>
      </c>
      <c r="H148" s="830">
        <f t="shared" si="13"/>
        <v>0</v>
      </c>
      <c r="I148" s="841"/>
      <c r="J148" s="841">
        <v>0</v>
      </c>
      <c r="K148" s="840">
        <f t="shared" si="14"/>
        <v>0</v>
      </c>
      <c r="L148" s="841">
        <v>0</v>
      </c>
      <c r="M148" s="841">
        <v>0</v>
      </c>
      <c r="N148" s="841">
        <v>0</v>
      </c>
      <c r="O148" s="841">
        <v>0</v>
      </c>
      <c r="P148" s="841">
        <v>0</v>
      </c>
      <c r="Q148" s="841">
        <v>0</v>
      </c>
      <c r="R148" s="841">
        <v>0</v>
      </c>
      <c r="S148" s="841">
        <v>0</v>
      </c>
      <c r="T148" s="836"/>
      <c r="V148" s="842"/>
      <c r="X148" s="832"/>
      <c r="Y148" s="832"/>
      <c r="AI148" s="837"/>
      <c r="AJ148" s="832"/>
    </row>
    <row r="149" spans="1:36" x14ac:dyDescent="0.2">
      <c r="A149" s="443">
        <v>137</v>
      </c>
      <c r="B149" s="77" t="s">
        <v>387</v>
      </c>
      <c r="C149" s="454" t="s">
        <v>388</v>
      </c>
      <c r="D149" s="840">
        <f t="shared" si="10"/>
        <v>0</v>
      </c>
      <c r="E149" s="840">
        <f t="shared" si="12"/>
        <v>0</v>
      </c>
      <c r="F149" s="844">
        <v>0</v>
      </c>
      <c r="G149" s="844">
        <v>0</v>
      </c>
      <c r="H149" s="830">
        <f t="shared" si="13"/>
        <v>0</v>
      </c>
      <c r="I149" s="844">
        <v>0</v>
      </c>
      <c r="J149" s="844">
        <v>0</v>
      </c>
      <c r="K149" s="840">
        <f t="shared" si="14"/>
        <v>0</v>
      </c>
      <c r="L149" s="844">
        <v>0</v>
      </c>
      <c r="M149" s="844"/>
      <c r="N149" s="841">
        <v>0</v>
      </c>
      <c r="O149" s="841">
        <v>0</v>
      </c>
      <c r="P149" s="841">
        <v>0</v>
      </c>
      <c r="Q149" s="841">
        <v>0</v>
      </c>
      <c r="R149" s="841">
        <v>0</v>
      </c>
      <c r="S149" s="841">
        <v>0</v>
      </c>
      <c r="T149" s="836"/>
      <c r="V149" s="842"/>
      <c r="X149" s="832"/>
      <c r="Y149" s="832"/>
      <c r="AI149" s="837"/>
      <c r="AJ149" s="832"/>
    </row>
    <row r="150" spans="1:36" x14ac:dyDescent="0.2">
      <c r="A150" s="443">
        <v>138</v>
      </c>
      <c r="B150" s="78" t="s">
        <v>389</v>
      </c>
      <c r="C150" s="455" t="s">
        <v>390</v>
      </c>
      <c r="D150" s="840">
        <f t="shared" ref="D150:D152" si="15">E150+H150+K150</f>
        <v>0</v>
      </c>
      <c r="E150" s="840">
        <f t="shared" si="12"/>
        <v>0</v>
      </c>
      <c r="F150" s="844">
        <v>0</v>
      </c>
      <c r="G150" s="844">
        <v>0</v>
      </c>
      <c r="H150" s="830">
        <f t="shared" si="13"/>
        <v>0</v>
      </c>
      <c r="I150" s="844">
        <v>0</v>
      </c>
      <c r="J150" s="844">
        <v>0</v>
      </c>
      <c r="K150" s="840">
        <f t="shared" si="14"/>
        <v>0</v>
      </c>
      <c r="L150" s="844">
        <v>0</v>
      </c>
      <c r="M150" s="844"/>
      <c r="N150" s="841">
        <v>0</v>
      </c>
      <c r="O150" s="841">
        <v>0</v>
      </c>
      <c r="P150" s="841">
        <v>0</v>
      </c>
      <c r="Q150" s="841">
        <v>0</v>
      </c>
      <c r="R150" s="841">
        <v>0</v>
      </c>
      <c r="S150" s="841">
        <v>0</v>
      </c>
      <c r="T150" s="836"/>
      <c r="V150" s="842"/>
      <c r="X150" s="832"/>
      <c r="Y150" s="832"/>
      <c r="AI150" s="837"/>
      <c r="AJ150" s="832"/>
    </row>
    <row r="151" spans="1:36" x14ac:dyDescent="0.2">
      <c r="A151" s="443">
        <v>139</v>
      </c>
      <c r="B151" s="79" t="s">
        <v>391</v>
      </c>
      <c r="C151" s="456" t="s">
        <v>392</v>
      </c>
      <c r="D151" s="840">
        <f t="shared" si="15"/>
        <v>0</v>
      </c>
      <c r="E151" s="840">
        <f t="shared" si="12"/>
        <v>0</v>
      </c>
      <c r="F151" s="844">
        <v>0</v>
      </c>
      <c r="G151" s="844">
        <v>0</v>
      </c>
      <c r="H151" s="830">
        <f t="shared" si="13"/>
        <v>0</v>
      </c>
      <c r="I151" s="844">
        <v>0</v>
      </c>
      <c r="J151" s="844">
        <v>0</v>
      </c>
      <c r="K151" s="840">
        <f t="shared" si="14"/>
        <v>0</v>
      </c>
      <c r="L151" s="844">
        <v>0</v>
      </c>
      <c r="M151" s="844"/>
      <c r="N151" s="841">
        <v>0</v>
      </c>
      <c r="O151" s="841">
        <v>0</v>
      </c>
      <c r="P151" s="841">
        <v>0</v>
      </c>
      <c r="Q151" s="841">
        <v>0</v>
      </c>
      <c r="R151" s="841">
        <v>0</v>
      </c>
      <c r="S151" s="841">
        <v>0</v>
      </c>
      <c r="T151" s="836"/>
      <c r="V151" s="842"/>
      <c r="X151" s="832"/>
      <c r="Y151" s="832"/>
      <c r="AI151" s="837"/>
      <c r="AJ151" s="832"/>
    </row>
    <row r="152" spans="1:36" x14ac:dyDescent="0.2">
      <c r="A152" s="443">
        <v>140</v>
      </c>
      <c r="B152" s="443" t="s">
        <v>393</v>
      </c>
      <c r="C152" s="457" t="s">
        <v>394</v>
      </c>
      <c r="D152" s="840">
        <f t="shared" si="15"/>
        <v>0</v>
      </c>
      <c r="E152" s="840">
        <f t="shared" si="12"/>
        <v>0</v>
      </c>
      <c r="F152" s="844">
        <v>0</v>
      </c>
      <c r="G152" s="844">
        <v>0</v>
      </c>
      <c r="H152" s="830">
        <f t="shared" si="13"/>
        <v>0</v>
      </c>
      <c r="I152" s="844">
        <v>0</v>
      </c>
      <c r="J152" s="844">
        <v>0</v>
      </c>
      <c r="K152" s="840">
        <f t="shared" si="14"/>
        <v>0</v>
      </c>
      <c r="L152" s="844">
        <v>0</v>
      </c>
      <c r="M152" s="844"/>
      <c r="N152" s="841">
        <v>0</v>
      </c>
      <c r="O152" s="841">
        <v>0</v>
      </c>
      <c r="P152" s="841">
        <v>0</v>
      </c>
      <c r="Q152" s="841">
        <v>0</v>
      </c>
      <c r="R152" s="841">
        <v>0</v>
      </c>
      <c r="S152" s="841">
        <v>0</v>
      </c>
      <c r="T152" s="836"/>
      <c r="V152" s="842"/>
      <c r="X152" s="832"/>
      <c r="Y152" s="832"/>
      <c r="AI152" s="837"/>
      <c r="AJ152" s="832"/>
    </row>
  </sheetData>
  <mergeCells count="22">
    <mergeCell ref="L5:R5"/>
    <mergeCell ref="A8:C8"/>
    <mergeCell ref="A9:C9"/>
    <mergeCell ref="A10:C10"/>
    <mergeCell ref="A93:A95"/>
    <mergeCell ref="B93:B95"/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52"/>
  <sheetViews>
    <sheetView workbookViewId="0">
      <pane xSplit="1" ySplit="10" topLeftCell="B135" activePane="bottomRight" state="frozen"/>
      <selection pane="topRight" activeCell="D1" sqref="D1"/>
      <selection pane="bottomLeft" activeCell="A11" sqref="A11"/>
      <selection pane="bottomRight" activeCell="C158" sqref="C158"/>
    </sheetView>
  </sheetViews>
  <sheetFormatPr defaultRowHeight="12" x14ac:dyDescent="0.2"/>
  <cols>
    <col min="1" max="1" width="6.140625" style="845" customWidth="1"/>
    <col min="2" max="2" width="9.140625" style="845"/>
    <col min="3" max="3" width="33.140625" style="845" customWidth="1"/>
    <col min="4" max="4" width="13.140625" style="845" customWidth="1"/>
    <col min="5" max="5" width="15.28515625" style="845" customWidth="1"/>
    <col min="6" max="6" width="23.7109375" style="845" customWidth="1"/>
    <col min="7" max="7" width="15.42578125" style="845" customWidth="1"/>
    <col min="8" max="8" width="13.42578125" style="845" customWidth="1"/>
    <col min="9" max="9" width="11.42578125" style="845" customWidth="1"/>
    <col min="10" max="10" width="13.5703125" style="845" customWidth="1"/>
    <col min="11" max="11" width="10.5703125" style="845" customWidth="1"/>
    <col min="12" max="12" width="12.140625" style="845" customWidth="1"/>
    <col min="13" max="13" width="15.7109375" style="845" customWidth="1"/>
    <col min="14" max="14" width="24.140625" style="845" customWidth="1"/>
    <col min="15" max="16384" width="9.140625" style="845"/>
  </cols>
  <sheetData>
    <row r="1" spans="1:14" ht="15.75" x14ac:dyDescent="0.2">
      <c r="B1" s="994" t="s">
        <v>354</v>
      </c>
      <c r="C1" s="994"/>
      <c r="D1" s="994"/>
      <c r="E1" s="995"/>
      <c r="F1" s="995"/>
      <c r="G1" s="995"/>
      <c r="H1" s="995"/>
      <c r="I1" s="995"/>
      <c r="J1" s="995"/>
      <c r="K1" s="995"/>
      <c r="L1" s="995"/>
      <c r="M1" s="995"/>
      <c r="N1" s="995"/>
    </row>
    <row r="2" spans="1:14" ht="12" customHeight="1" x14ac:dyDescent="0.2">
      <c r="A2" s="996" t="s">
        <v>0</v>
      </c>
      <c r="B2" s="997" t="s">
        <v>1</v>
      </c>
      <c r="C2" s="996" t="s">
        <v>2</v>
      </c>
      <c r="D2" s="1000" t="s">
        <v>339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</row>
    <row r="3" spans="1:14" ht="12" customHeight="1" x14ac:dyDescent="0.2">
      <c r="A3" s="996"/>
      <c r="B3" s="998"/>
      <c r="C3" s="996"/>
      <c r="D3" s="1001" t="s">
        <v>3</v>
      </c>
      <c r="E3" s="1000" t="s">
        <v>4</v>
      </c>
      <c r="F3" s="1000"/>
      <c r="G3" s="1000"/>
      <c r="H3" s="1000"/>
      <c r="I3" s="1000"/>
      <c r="J3" s="1000"/>
      <c r="K3" s="1000"/>
      <c r="L3" s="1000"/>
      <c r="M3" s="1000"/>
      <c r="N3" s="1000"/>
    </row>
    <row r="4" spans="1:14" ht="28.5" customHeight="1" x14ac:dyDescent="0.2">
      <c r="A4" s="996"/>
      <c r="B4" s="998"/>
      <c r="C4" s="996"/>
      <c r="D4" s="1001"/>
      <c r="E4" s="1003" t="s">
        <v>340</v>
      </c>
      <c r="F4" s="1003"/>
      <c r="G4" s="1004" t="s">
        <v>341</v>
      </c>
      <c r="H4" s="1005"/>
      <c r="I4" s="1003" t="s">
        <v>342</v>
      </c>
      <c r="J4" s="1003"/>
      <c r="K4" s="1006" t="s">
        <v>343</v>
      </c>
      <c r="L4" s="1004"/>
      <c r="M4" s="1004"/>
      <c r="N4" s="1005"/>
    </row>
    <row r="5" spans="1:14" ht="12.75" customHeight="1" x14ac:dyDescent="0.2">
      <c r="A5" s="996"/>
      <c r="B5" s="998"/>
      <c r="C5" s="996"/>
      <c r="D5" s="1001"/>
      <c r="E5" s="1007" t="s">
        <v>297</v>
      </c>
      <c r="F5" s="1009" t="s">
        <v>344</v>
      </c>
      <c r="G5" s="1011" t="s">
        <v>345</v>
      </c>
      <c r="H5" s="1007" t="s">
        <v>346</v>
      </c>
      <c r="I5" s="996" t="s">
        <v>347</v>
      </c>
      <c r="J5" s="1003" t="s">
        <v>348</v>
      </c>
      <c r="K5" s="1003" t="s">
        <v>297</v>
      </c>
      <c r="L5" s="1011" t="s">
        <v>349</v>
      </c>
      <c r="M5" s="1011" t="s">
        <v>350</v>
      </c>
      <c r="N5" s="1012" t="s">
        <v>351</v>
      </c>
    </row>
    <row r="6" spans="1:14" ht="36.75" customHeight="1" x14ac:dyDescent="0.2">
      <c r="A6" s="996"/>
      <c r="B6" s="999"/>
      <c r="C6" s="996"/>
      <c r="D6" s="1002"/>
      <c r="E6" s="1008"/>
      <c r="F6" s="1010"/>
      <c r="G6" s="1002"/>
      <c r="H6" s="1008"/>
      <c r="I6" s="996"/>
      <c r="J6" s="1003"/>
      <c r="K6" s="1003"/>
      <c r="L6" s="1002"/>
      <c r="M6" s="1002"/>
      <c r="N6" s="1013"/>
    </row>
    <row r="7" spans="1:14" s="849" customFormat="1" ht="11.25" x14ac:dyDescent="0.2">
      <c r="A7" s="846">
        <v>1</v>
      </c>
      <c r="B7" s="846">
        <v>2</v>
      </c>
      <c r="C7" s="846">
        <v>3</v>
      </c>
      <c r="D7" s="847">
        <v>4</v>
      </c>
      <c r="E7" s="848">
        <v>5</v>
      </c>
      <c r="F7" s="848">
        <v>6</v>
      </c>
      <c r="G7" s="848">
        <v>7</v>
      </c>
      <c r="H7" s="848">
        <v>8</v>
      </c>
      <c r="I7" s="848">
        <v>9</v>
      </c>
      <c r="J7" s="848">
        <v>10</v>
      </c>
      <c r="K7" s="848">
        <v>11</v>
      </c>
      <c r="L7" s="848">
        <v>12</v>
      </c>
      <c r="M7" s="848">
        <v>13</v>
      </c>
      <c r="N7" s="848">
        <v>14</v>
      </c>
    </row>
    <row r="8" spans="1:14" s="849" customFormat="1" x14ac:dyDescent="0.2">
      <c r="A8" s="981" t="s">
        <v>6</v>
      </c>
      <c r="B8" s="981"/>
      <c r="C8" s="981"/>
      <c r="D8" s="850">
        <f>E8+G8+H8+I8+J8+K8</f>
        <v>3671797</v>
      </c>
      <c r="E8" s="850">
        <f t="shared" ref="E8:N8" si="0">E9+E10</f>
        <v>202928</v>
      </c>
      <c r="F8" s="850">
        <f t="shared" si="0"/>
        <v>130</v>
      </c>
      <c r="G8" s="850">
        <f t="shared" si="0"/>
        <v>803968</v>
      </c>
      <c r="H8" s="850">
        <f t="shared" si="0"/>
        <v>1784351</v>
      </c>
      <c r="I8" s="850">
        <f t="shared" si="0"/>
        <v>37926</v>
      </c>
      <c r="J8" s="850">
        <f t="shared" si="0"/>
        <v>16243</v>
      </c>
      <c r="K8" s="850">
        <f t="shared" si="0"/>
        <v>826381</v>
      </c>
      <c r="L8" s="850">
        <f t="shared" si="0"/>
        <v>13988</v>
      </c>
      <c r="M8" s="850">
        <f t="shared" si="0"/>
        <v>812393</v>
      </c>
      <c r="N8" s="850">
        <f t="shared" si="0"/>
        <v>300</v>
      </c>
    </row>
    <row r="9" spans="1:14" s="849" customFormat="1" ht="12" customHeight="1" x14ac:dyDescent="0.2">
      <c r="A9" s="985" t="s">
        <v>14</v>
      </c>
      <c r="B9" s="986"/>
      <c r="C9" s="987"/>
      <c r="D9" s="848">
        <f t="shared" ref="D9:D72" si="1">E9+G9+H9+I9+J9+K9</f>
        <v>203495</v>
      </c>
      <c r="E9" s="848">
        <v>3871</v>
      </c>
      <c r="F9" s="848">
        <v>0</v>
      </c>
      <c r="G9" s="848">
        <v>199624</v>
      </c>
      <c r="H9" s="848">
        <v>0</v>
      </c>
      <c r="I9" s="848">
        <v>0</v>
      </c>
      <c r="J9" s="848">
        <v>0</v>
      </c>
      <c r="K9" s="848">
        <f t="shared" ref="K9" si="2">L9+M9</f>
        <v>0</v>
      </c>
      <c r="L9" s="848">
        <v>0</v>
      </c>
      <c r="M9" s="848">
        <v>0</v>
      </c>
      <c r="N9" s="848">
        <v>0</v>
      </c>
    </row>
    <row r="10" spans="1:14" s="849" customFormat="1" ht="12" customHeight="1" x14ac:dyDescent="0.2">
      <c r="A10" s="985" t="s">
        <v>15</v>
      </c>
      <c r="B10" s="986"/>
      <c r="C10" s="987"/>
      <c r="D10" s="850">
        <f t="shared" si="1"/>
        <v>3468302</v>
      </c>
      <c r="E10" s="850">
        <f t="shared" ref="E10:J10" si="3">SUM(E11:E148)</f>
        <v>199057</v>
      </c>
      <c r="F10" s="850">
        <f t="shared" si="3"/>
        <v>130</v>
      </c>
      <c r="G10" s="850">
        <f t="shared" si="3"/>
        <v>604344</v>
      </c>
      <c r="H10" s="850">
        <f t="shared" si="3"/>
        <v>1784351</v>
      </c>
      <c r="I10" s="850">
        <f t="shared" si="3"/>
        <v>37926</v>
      </c>
      <c r="J10" s="850">
        <f t="shared" si="3"/>
        <v>16243</v>
      </c>
      <c r="K10" s="850">
        <f>L10+M10</f>
        <v>826381</v>
      </c>
      <c r="L10" s="850">
        <f>SUM(L11:L148)</f>
        <v>13988</v>
      </c>
      <c r="M10" s="850">
        <f>SUM(M11:M148)</f>
        <v>812393</v>
      </c>
      <c r="N10" s="850">
        <f>SUM(N11:N148)</f>
        <v>300</v>
      </c>
    </row>
    <row r="11" spans="1:14" x14ac:dyDescent="0.2">
      <c r="A11" s="443">
        <v>1</v>
      </c>
      <c r="B11" s="458" t="s">
        <v>16</v>
      </c>
      <c r="C11" s="459" t="s">
        <v>17</v>
      </c>
      <c r="D11" s="848">
        <f>E11+G11+H11+I11+J11+K11</f>
        <v>13010</v>
      </c>
      <c r="E11" s="851">
        <v>0</v>
      </c>
      <c r="F11" s="851">
        <v>0</v>
      </c>
      <c r="G11" s="851">
        <v>4597</v>
      </c>
      <c r="H11" s="851">
        <v>8413</v>
      </c>
      <c r="I11" s="851">
        <v>0</v>
      </c>
      <c r="J11" s="851">
        <v>0</v>
      </c>
      <c r="K11" s="848">
        <f>L11+M11</f>
        <v>0</v>
      </c>
      <c r="L11" s="851">
        <v>0</v>
      </c>
      <c r="M11" s="851">
        <v>0</v>
      </c>
      <c r="N11" s="851">
        <v>0</v>
      </c>
    </row>
    <row r="12" spans="1:14" x14ac:dyDescent="0.2">
      <c r="A12" s="443">
        <v>2</v>
      </c>
      <c r="B12" s="460" t="s">
        <v>18</v>
      </c>
      <c r="C12" s="459" t="s">
        <v>19</v>
      </c>
      <c r="D12" s="848">
        <f t="shared" si="1"/>
        <v>17345</v>
      </c>
      <c r="E12" s="851">
        <v>0</v>
      </c>
      <c r="F12" s="851">
        <v>0</v>
      </c>
      <c r="G12" s="851">
        <v>1379</v>
      </c>
      <c r="H12" s="851">
        <v>14502</v>
      </c>
      <c r="I12" s="851">
        <v>1025</v>
      </c>
      <c r="J12" s="851">
        <v>439</v>
      </c>
      <c r="K12" s="848">
        <f t="shared" ref="K12:K77" si="4">L12+M12</f>
        <v>0</v>
      </c>
      <c r="L12" s="851">
        <v>0</v>
      </c>
      <c r="M12" s="851">
        <v>0</v>
      </c>
      <c r="N12" s="851">
        <v>0</v>
      </c>
    </row>
    <row r="13" spans="1:14" x14ac:dyDescent="0.2">
      <c r="A13" s="443">
        <v>3</v>
      </c>
      <c r="B13" s="461" t="s">
        <v>20</v>
      </c>
      <c r="C13" s="462" t="s">
        <v>21</v>
      </c>
      <c r="D13" s="848">
        <f t="shared" si="1"/>
        <v>30185</v>
      </c>
      <c r="E13" s="851">
        <v>0</v>
      </c>
      <c r="F13" s="851">
        <v>0</v>
      </c>
      <c r="G13" s="851">
        <v>4908</v>
      </c>
      <c r="H13" s="851">
        <v>23659</v>
      </c>
      <c r="I13" s="851">
        <v>1025</v>
      </c>
      <c r="J13" s="851">
        <v>439</v>
      </c>
      <c r="K13" s="848">
        <f t="shared" si="4"/>
        <v>154</v>
      </c>
      <c r="L13" s="851">
        <v>0</v>
      </c>
      <c r="M13" s="851">
        <v>154</v>
      </c>
      <c r="N13" s="851">
        <v>0</v>
      </c>
    </row>
    <row r="14" spans="1:14" x14ac:dyDescent="0.2">
      <c r="A14" s="443">
        <v>4</v>
      </c>
      <c r="B14" s="458" t="s">
        <v>22</v>
      </c>
      <c r="C14" s="459" t="s">
        <v>23</v>
      </c>
      <c r="D14" s="848">
        <f t="shared" si="1"/>
        <v>17791</v>
      </c>
      <c r="E14" s="851">
        <v>0</v>
      </c>
      <c r="F14" s="851">
        <v>0</v>
      </c>
      <c r="G14" s="851">
        <v>2914</v>
      </c>
      <c r="H14" s="851">
        <v>14877</v>
      </c>
      <c r="I14" s="851">
        <v>0</v>
      </c>
      <c r="J14" s="851">
        <v>0</v>
      </c>
      <c r="K14" s="848">
        <f t="shared" si="4"/>
        <v>0</v>
      </c>
      <c r="L14" s="851">
        <v>0</v>
      </c>
      <c r="M14" s="851">
        <v>0</v>
      </c>
      <c r="N14" s="851">
        <v>0</v>
      </c>
    </row>
    <row r="15" spans="1:14" x14ac:dyDescent="0.2">
      <c r="A15" s="443">
        <v>5</v>
      </c>
      <c r="B15" s="458" t="s">
        <v>24</v>
      </c>
      <c r="C15" s="459" t="s">
        <v>25</v>
      </c>
      <c r="D15" s="848">
        <f t="shared" si="1"/>
        <v>12711</v>
      </c>
      <c r="E15" s="851">
        <v>0</v>
      </c>
      <c r="F15" s="851">
        <v>0</v>
      </c>
      <c r="G15" s="851">
        <v>5490</v>
      </c>
      <c r="H15" s="851">
        <v>7221</v>
      </c>
      <c r="I15" s="851">
        <v>0</v>
      </c>
      <c r="J15" s="851">
        <v>0</v>
      </c>
      <c r="K15" s="848">
        <f t="shared" si="4"/>
        <v>0</v>
      </c>
      <c r="L15" s="851">
        <v>0</v>
      </c>
      <c r="M15" s="851">
        <v>0</v>
      </c>
      <c r="N15" s="851">
        <v>0</v>
      </c>
    </row>
    <row r="16" spans="1:14" x14ac:dyDescent="0.2">
      <c r="A16" s="443">
        <v>6</v>
      </c>
      <c r="B16" s="461" t="s">
        <v>26</v>
      </c>
      <c r="C16" s="462" t="s">
        <v>27</v>
      </c>
      <c r="D16" s="848">
        <f t="shared" si="1"/>
        <v>108096</v>
      </c>
      <c r="E16" s="851">
        <v>0</v>
      </c>
      <c r="F16" s="851">
        <v>0</v>
      </c>
      <c r="G16" s="851">
        <v>26349</v>
      </c>
      <c r="H16" s="851">
        <v>80104</v>
      </c>
      <c r="I16" s="851">
        <v>1025</v>
      </c>
      <c r="J16" s="851">
        <v>439</v>
      </c>
      <c r="K16" s="848">
        <f t="shared" si="4"/>
        <v>179</v>
      </c>
      <c r="L16" s="851">
        <v>0</v>
      </c>
      <c r="M16" s="851">
        <v>179</v>
      </c>
      <c r="N16" s="851">
        <v>0</v>
      </c>
    </row>
    <row r="17" spans="1:14" x14ac:dyDescent="0.2">
      <c r="A17" s="443">
        <v>7</v>
      </c>
      <c r="B17" s="463" t="s">
        <v>28</v>
      </c>
      <c r="C17" s="69" t="s">
        <v>29</v>
      </c>
      <c r="D17" s="848">
        <f t="shared" si="1"/>
        <v>26934</v>
      </c>
      <c r="E17" s="851">
        <v>0</v>
      </c>
      <c r="F17" s="851">
        <v>0</v>
      </c>
      <c r="G17" s="851">
        <v>10188</v>
      </c>
      <c r="H17" s="851">
        <v>15005</v>
      </c>
      <c r="I17" s="851">
        <v>1025</v>
      </c>
      <c r="J17" s="851">
        <v>439</v>
      </c>
      <c r="K17" s="848">
        <f t="shared" si="4"/>
        <v>277</v>
      </c>
      <c r="L17" s="851">
        <v>0</v>
      </c>
      <c r="M17" s="851">
        <v>277</v>
      </c>
      <c r="N17" s="851">
        <v>0</v>
      </c>
    </row>
    <row r="18" spans="1:14" x14ac:dyDescent="0.2">
      <c r="A18" s="443">
        <v>8</v>
      </c>
      <c r="B18" s="461" t="s">
        <v>30</v>
      </c>
      <c r="C18" s="462" t="s">
        <v>31</v>
      </c>
      <c r="D18" s="848">
        <f t="shared" si="1"/>
        <v>16021</v>
      </c>
      <c r="E18" s="851">
        <v>0</v>
      </c>
      <c r="F18" s="851">
        <v>0</v>
      </c>
      <c r="G18" s="851">
        <v>5001</v>
      </c>
      <c r="H18" s="851">
        <v>11020</v>
      </c>
      <c r="I18" s="851">
        <v>0</v>
      </c>
      <c r="J18" s="851">
        <v>0</v>
      </c>
      <c r="K18" s="848">
        <f t="shared" si="4"/>
        <v>0</v>
      </c>
      <c r="L18" s="851">
        <v>0</v>
      </c>
      <c r="M18" s="851">
        <v>0</v>
      </c>
      <c r="N18" s="851">
        <v>0</v>
      </c>
    </row>
    <row r="19" spans="1:14" x14ac:dyDescent="0.2">
      <c r="A19" s="443">
        <v>9</v>
      </c>
      <c r="B19" s="461" t="s">
        <v>32</v>
      </c>
      <c r="C19" s="462" t="s">
        <v>33</v>
      </c>
      <c r="D19" s="848">
        <f t="shared" si="1"/>
        <v>15202</v>
      </c>
      <c r="E19" s="851">
        <v>0</v>
      </c>
      <c r="F19" s="851">
        <v>0</v>
      </c>
      <c r="G19" s="851">
        <v>6431</v>
      </c>
      <c r="H19" s="851">
        <v>7307</v>
      </c>
      <c r="I19" s="851">
        <v>1025</v>
      </c>
      <c r="J19" s="851">
        <v>439</v>
      </c>
      <c r="K19" s="848">
        <f t="shared" si="4"/>
        <v>0</v>
      </c>
      <c r="L19" s="851">
        <v>0</v>
      </c>
      <c r="M19" s="851">
        <v>0</v>
      </c>
      <c r="N19" s="851">
        <v>0</v>
      </c>
    </row>
    <row r="20" spans="1:14" x14ac:dyDescent="0.2">
      <c r="A20" s="443">
        <v>10</v>
      </c>
      <c r="B20" s="461" t="s">
        <v>34</v>
      </c>
      <c r="C20" s="462" t="s">
        <v>35</v>
      </c>
      <c r="D20" s="848">
        <f t="shared" si="1"/>
        <v>16996</v>
      </c>
      <c r="E20" s="851">
        <v>0</v>
      </c>
      <c r="F20" s="851">
        <v>0</v>
      </c>
      <c r="G20" s="851">
        <v>5950</v>
      </c>
      <c r="H20" s="851">
        <v>11046</v>
      </c>
      <c r="I20" s="851">
        <v>0</v>
      </c>
      <c r="J20" s="851">
        <v>0</v>
      </c>
      <c r="K20" s="848">
        <f t="shared" si="4"/>
        <v>0</v>
      </c>
      <c r="L20" s="851">
        <v>0</v>
      </c>
      <c r="M20" s="851">
        <v>0</v>
      </c>
      <c r="N20" s="851">
        <v>0</v>
      </c>
    </row>
    <row r="21" spans="1:14" x14ac:dyDescent="0.2">
      <c r="A21" s="443">
        <v>11</v>
      </c>
      <c r="B21" s="461" t="s">
        <v>36</v>
      </c>
      <c r="C21" s="462" t="s">
        <v>37</v>
      </c>
      <c r="D21" s="848">
        <f t="shared" si="1"/>
        <v>8170</v>
      </c>
      <c r="E21" s="851">
        <v>0</v>
      </c>
      <c r="F21" s="851">
        <v>0</v>
      </c>
      <c r="G21" s="851">
        <v>2583</v>
      </c>
      <c r="H21" s="851">
        <v>5587</v>
      </c>
      <c r="I21" s="851">
        <v>0</v>
      </c>
      <c r="J21" s="851">
        <v>0</v>
      </c>
      <c r="K21" s="848">
        <f t="shared" si="4"/>
        <v>0</v>
      </c>
      <c r="L21" s="851">
        <v>0</v>
      </c>
      <c r="M21" s="851">
        <v>0</v>
      </c>
      <c r="N21" s="851">
        <v>0</v>
      </c>
    </row>
    <row r="22" spans="1:14" x14ac:dyDescent="0.2">
      <c r="A22" s="443">
        <v>12</v>
      </c>
      <c r="B22" s="461" t="s">
        <v>38</v>
      </c>
      <c r="C22" s="462" t="s">
        <v>39</v>
      </c>
      <c r="D22" s="848">
        <f t="shared" si="1"/>
        <v>27732</v>
      </c>
      <c r="E22" s="851">
        <v>0</v>
      </c>
      <c r="F22" s="851">
        <v>0</v>
      </c>
      <c r="G22" s="851">
        <v>2889</v>
      </c>
      <c r="H22" s="851">
        <v>23379</v>
      </c>
      <c r="I22" s="851">
        <v>1025</v>
      </c>
      <c r="J22" s="851">
        <v>439</v>
      </c>
      <c r="K22" s="848">
        <f t="shared" si="4"/>
        <v>0</v>
      </c>
      <c r="L22" s="851">
        <v>0</v>
      </c>
      <c r="M22" s="851">
        <v>0</v>
      </c>
      <c r="N22" s="851">
        <v>0</v>
      </c>
    </row>
    <row r="23" spans="1:14" x14ac:dyDescent="0.2">
      <c r="A23" s="2">
        <v>13</v>
      </c>
      <c r="B23" s="461" t="s">
        <v>40</v>
      </c>
      <c r="C23" s="462" t="s">
        <v>41</v>
      </c>
      <c r="D23" s="848">
        <f t="shared" si="1"/>
        <v>0</v>
      </c>
      <c r="E23" s="851">
        <v>0</v>
      </c>
      <c r="F23" s="851">
        <v>0</v>
      </c>
      <c r="G23" s="851">
        <v>0</v>
      </c>
      <c r="H23" s="851">
        <v>0</v>
      </c>
      <c r="I23" s="851">
        <v>0</v>
      </c>
      <c r="J23" s="851">
        <v>0</v>
      </c>
      <c r="K23" s="848">
        <f t="shared" si="4"/>
        <v>0</v>
      </c>
      <c r="L23" s="851">
        <v>0</v>
      </c>
      <c r="M23" s="851">
        <v>0</v>
      </c>
      <c r="N23" s="851">
        <v>0</v>
      </c>
    </row>
    <row r="24" spans="1:14" x14ac:dyDescent="0.2">
      <c r="A24" s="443">
        <v>14</v>
      </c>
      <c r="B24" s="458" t="s">
        <v>42</v>
      </c>
      <c r="C24" s="462" t="s">
        <v>43</v>
      </c>
      <c r="D24" s="848">
        <f t="shared" si="1"/>
        <v>0</v>
      </c>
      <c r="E24" s="851">
        <v>0</v>
      </c>
      <c r="F24" s="851">
        <v>0</v>
      </c>
      <c r="G24" s="851">
        <v>0</v>
      </c>
      <c r="H24" s="851">
        <v>0</v>
      </c>
      <c r="I24" s="851">
        <v>0</v>
      </c>
      <c r="J24" s="851">
        <v>0</v>
      </c>
      <c r="K24" s="848">
        <f t="shared" si="4"/>
        <v>0</v>
      </c>
      <c r="L24" s="851">
        <v>0</v>
      </c>
      <c r="M24" s="851">
        <v>0</v>
      </c>
      <c r="N24" s="851">
        <v>0</v>
      </c>
    </row>
    <row r="25" spans="1:14" x14ac:dyDescent="0.2">
      <c r="A25" s="2">
        <v>15</v>
      </c>
      <c r="B25" s="461" t="s">
        <v>44</v>
      </c>
      <c r="C25" s="462" t="s">
        <v>45</v>
      </c>
      <c r="D25" s="848">
        <f t="shared" si="1"/>
        <v>14284</v>
      </c>
      <c r="E25" s="851">
        <v>0</v>
      </c>
      <c r="F25" s="851">
        <v>0</v>
      </c>
      <c r="G25" s="851">
        <v>1234</v>
      </c>
      <c r="H25" s="851">
        <v>13050</v>
      </c>
      <c r="I25" s="851">
        <v>0</v>
      </c>
      <c r="J25" s="851">
        <v>0</v>
      </c>
      <c r="K25" s="848">
        <f t="shared" si="4"/>
        <v>0</v>
      </c>
      <c r="L25" s="851">
        <v>0</v>
      </c>
      <c r="M25" s="851">
        <v>0</v>
      </c>
      <c r="N25" s="851">
        <v>0</v>
      </c>
    </row>
    <row r="26" spans="1:14" x14ac:dyDescent="0.2">
      <c r="A26" s="443">
        <v>16</v>
      </c>
      <c r="B26" s="461" t="s">
        <v>46</v>
      </c>
      <c r="C26" s="462" t="s">
        <v>47</v>
      </c>
      <c r="D26" s="848">
        <f t="shared" si="1"/>
        <v>29235</v>
      </c>
      <c r="E26" s="851">
        <v>0</v>
      </c>
      <c r="F26" s="851">
        <v>0</v>
      </c>
      <c r="G26" s="851">
        <v>8985</v>
      </c>
      <c r="H26" s="851">
        <v>18786</v>
      </c>
      <c r="I26" s="851">
        <v>1025</v>
      </c>
      <c r="J26" s="851">
        <v>439</v>
      </c>
      <c r="K26" s="848">
        <f t="shared" si="4"/>
        <v>0</v>
      </c>
      <c r="L26" s="851">
        <v>0</v>
      </c>
      <c r="M26" s="851">
        <v>0</v>
      </c>
      <c r="N26" s="851">
        <v>0</v>
      </c>
    </row>
    <row r="27" spans="1:14" x14ac:dyDescent="0.2">
      <c r="A27" s="2">
        <v>17</v>
      </c>
      <c r="B27" s="461" t="s">
        <v>48</v>
      </c>
      <c r="C27" s="462" t="s">
        <v>49</v>
      </c>
      <c r="D27" s="848">
        <f t="shared" si="1"/>
        <v>37131</v>
      </c>
      <c r="E27" s="851">
        <v>0</v>
      </c>
      <c r="F27" s="851">
        <v>0</v>
      </c>
      <c r="G27" s="851">
        <v>7125</v>
      </c>
      <c r="H27" s="851">
        <v>30006</v>
      </c>
      <c r="I27" s="851">
        <v>0</v>
      </c>
      <c r="J27" s="851">
        <v>0</v>
      </c>
      <c r="K27" s="848">
        <f t="shared" si="4"/>
        <v>0</v>
      </c>
      <c r="L27" s="851">
        <v>0</v>
      </c>
      <c r="M27" s="851">
        <v>0</v>
      </c>
      <c r="N27" s="851">
        <v>0</v>
      </c>
    </row>
    <row r="28" spans="1:14" x14ac:dyDescent="0.2">
      <c r="A28" s="443">
        <v>18</v>
      </c>
      <c r="B28" s="461" t="s">
        <v>50</v>
      </c>
      <c r="C28" s="462" t="s">
        <v>51</v>
      </c>
      <c r="D28" s="848">
        <f t="shared" si="1"/>
        <v>42838</v>
      </c>
      <c r="E28" s="851">
        <v>0</v>
      </c>
      <c r="F28" s="851">
        <v>0</v>
      </c>
      <c r="G28" s="851">
        <v>14845</v>
      </c>
      <c r="H28" s="851">
        <v>26257</v>
      </c>
      <c r="I28" s="851">
        <v>1025</v>
      </c>
      <c r="J28" s="851">
        <v>439</v>
      </c>
      <c r="K28" s="848">
        <f t="shared" si="4"/>
        <v>272</v>
      </c>
      <c r="L28" s="851">
        <v>0</v>
      </c>
      <c r="M28" s="851">
        <v>272</v>
      </c>
      <c r="N28" s="851">
        <v>0</v>
      </c>
    </row>
    <row r="29" spans="1:14" x14ac:dyDescent="0.2">
      <c r="A29" s="2">
        <v>19</v>
      </c>
      <c r="B29" s="458" t="s">
        <v>52</v>
      </c>
      <c r="C29" s="459" t="s">
        <v>53</v>
      </c>
      <c r="D29" s="848">
        <f t="shared" si="1"/>
        <v>13370</v>
      </c>
      <c r="E29" s="851">
        <v>0</v>
      </c>
      <c r="F29" s="851">
        <v>0</v>
      </c>
      <c r="G29" s="851">
        <v>2301</v>
      </c>
      <c r="H29" s="851">
        <v>11069</v>
      </c>
      <c r="I29" s="851">
        <v>0</v>
      </c>
      <c r="J29" s="851">
        <v>0</v>
      </c>
      <c r="K29" s="848">
        <f t="shared" si="4"/>
        <v>0</v>
      </c>
      <c r="L29" s="851">
        <v>0</v>
      </c>
      <c r="M29" s="851">
        <v>0</v>
      </c>
      <c r="N29" s="851">
        <v>0</v>
      </c>
    </row>
    <row r="30" spans="1:14" x14ac:dyDescent="0.2">
      <c r="A30" s="443">
        <v>20</v>
      </c>
      <c r="B30" s="458" t="s">
        <v>54</v>
      </c>
      <c r="C30" s="459" t="s">
        <v>55</v>
      </c>
      <c r="D30" s="848">
        <f t="shared" si="1"/>
        <v>7451</v>
      </c>
      <c r="E30" s="851">
        <v>0</v>
      </c>
      <c r="F30" s="851">
        <v>0</v>
      </c>
      <c r="G30" s="851">
        <v>1152</v>
      </c>
      <c r="H30" s="851">
        <v>6299</v>
      </c>
      <c r="I30" s="851">
        <v>0</v>
      </c>
      <c r="J30" s="851">
        <v>0</v>
      </c>
      <c r="K30" s="848">
        <f t="shared" si="4"/>
        <v>0</v>
      </c>
      <c r="L30" s="851">
        <v>0</v>
      </c>
      <c r="M30" s="851">
        <v>0</v>
      </c>
      <c r="N30" s="851">
        <v>0</v>
      </c>
    </row>
    <row r="31" spans="1:14" x14ac:dyDescent="0.2">
      <c r="A31" s="2">
        <v>21</v>
      </c>
      <c r="B31" s="458" t="s">
        <v>56</v>
      </c>
      <c r="C31" s="459" t="s">
        <v>57</v>
      </c>
      <c r="D31" s="848">
        <f t="shared" si="1"/>
        <v>43741</v>
      </c>
      <c r="E31" s="851">
        <v>0</v>
      </c>
      <c r="F31" s="851">
        <v>0</v>
      </c>
      <c r="G31" s="851">
        <v>11544</v>
      </c>
      <c r="H31" s="851">
        <v>30733</v>
      </c>
      <c r="I31" s="851">
        <v>1025</v>
      </c>
      <c r="J31" s="851">
        <v>439</v>
      </c>
      <c r="K31" s="848">
        <f t="shared" si="4"/>
        <v>0</v>
      </c>
      <c r="L31" s="851">
        <v>0</v>
      </c>
      <c r="M31" s="851">
        <v>0</v>
      </c>
      <c r="N31" s="851">
        <v>0</v>
      </c>
    </row>
    <row r="32" spans="1:14" x14ac:dyDescent="0.2">
      <c r="A32" s="443">
        <v>22</v>
      </c>
      <c r="B32" s="458" t="s">
        <v>58</v>
      </c>
      <c r="C32" s="459" t="s">
        <v>59</v>
      </c>
      <c r="D32" s="848">
        <f t="shared" si="1"/>
        <v>52055</v>
      </c>
      <c r="E32" s="851">
        <v>0</v>
      </c>
      <c r="F32" s="851">
        <v>0</v>
      </c>
      <c r="G32" s="851">
        <v>12111</v>
      </c>
      <c r="H32" s="851">
        <v>37855</v>
      </c>
      <c r="I32" s="851">
        <v>1025</v>
      </c>
      <c r="J32" s="851">
        <v>439</v>
      </c>
      <c r="K32" s="848">
        <f t="shared" si="4"/>
        <v>625</v>
      </c>
      <c r="L32" s="851">
        <v>0</v>
      </c>
      <c r="M32" s="851">
        <v>625</v>
      </c>
      <c r="N32" s="851">
        <v>0</v>
      </c>
    </row>
    <row r="33" spans="1:14" x14ac:dyDescent="0.2">
      <c r="A33" s="2">
        <v>23</v>
      </c>
      <c r="B33" s="461" t="s">
        <v>60</v>
      </c>
      <c r="C33" s="462" t="s">
        <v>61</v>
      </c>
      <c r="D33" s="848">
        <f t="shared" si="1"/>
        <v>14829</v>
      </c>
      <c r="E33" s="851">
        <v>0</v>
      </c>
      <c r="F33" s="851">
        <v>0</v>
      </c>
      <c r="G33" s="851">
        <v>8028</v>
      </c>
      <c r="H33" s="851">
        <v>6801</v>
      </c>
      <c r="I33" s="851">
        <v>0</v>
      </c>
      <c r="J33" s="851">
        <v>0</v>
      </c>
      <c r="K33" s="848">
        <f t="shared" si="4"/>
        <v>0</v>
      </c>
      <c r="L33" s="851">
        <v>0</v>
      </c>
      <c r="M33" s="851">
        <v>0</v>
      </c>
      <c r="N33" s="851">
        <v>0</v>
      </c>
    </row>
    <row r="34" spans="1:14" x14ac:dyDescent="0.2">
      <c r="A34" s="443">
        <v>24</v>
      </c>
      <c r="B34" s="461" t="s">
        <v>62</v>
      </c>
      <c r="C34" s="462" t="s">
        <v>63</v>
      </c>
      <c r="D34" s="848">
        <f t="shared" si="1"/>
        <v>0</v>
      </c>
      <c r="E34" s="851">
        <v>0</v>
      </c>
      <c r="F34" s="851">
        <v>0</v>
      </c>
      <c r="G34" s="851">
        <v>0</v>
      </c>
      <c r="H34" s="851">
        <v>0</v>
      </c>
      <c r="I34" s="851">
        <v>0</v>
      </c>
      <c r="J34" s="851">
        <v>0</v>
      </c>
      <c r="K34" s="848">
        <f t="shared" si="4"/>
        <v>0</v>
      </c>
      <c r="L34" s="851">
        <v>0</v>
      </c>
      <c r="M34" s="851">
        <v>0</v>
      </c>
      <c r="N34" s="851">
        <v>0</v>
      </c>
    </row>
    <row r="35" spans="1:14" ht="24" x14ac:dyDescent="0.2">
      <c r="A35" s="2">
        <v>25</v>
      </c>
      <c r="B35" s="461" t="s">
        <v>64</v>
      </c>
      <c r="C35" s="462" t="s">
        <v>65</v>
      </c>
      <c r="D35" s="848">
        <f t="shared" si="1"/>
        <v>0</v>
      </c>
      <c r="E35" s="851">
        <v>0</v>
      </c>
      <c r="F35" s="851">
        <v>0</v>
      </c>
      <c r="G35" s="851">
        <v>0</v>
      </c>
      <c r="H35" s="851">
        <v>0</v>
      </c>
      <c r="I35" s="851">
        <v>0</v>
      </c>
      <c r="J35" s="851">
        <v>0</v>
      </c>
      <c r="K35" s="848">
        <f t="shared" si="4"/>
        <v>0</v>
      </c>
      <c r="L35" s="851">
        <v>0</v>
      </c>
      <c r="M35" s="851">
        <v>0</v>
      </c>
      <c r="N35" s="851">
        <v>0</v>
      </c>
    </row>
    <row r="36" spans="1:14" x14ac:dyDescent="0.2">
      <c r="A36" s="443">
        <v>26</v>
      </c>
      <c r="B36" s="458" t="s">
        <v>66</v>
      </c>
      <c r="C36" s="69" t="s">
        <v>67</v>
      </c>
      <c r="D36" s="848">
        <f t="shared" si="1"/>
        <v>72528</v>
      </c>
      <c r="E36" s="851">
        <v>0</v>
      </c>
      <c r="F36" s="851">
        <v>0</v>
      </c>
      <c r="G36" s="851">
        <v>38099</v>
      </c>
      <c r="H36" s="851">
        <v>29486</v>
      </c>
      <c r="I36" s="851">
        <v>2221</v>
      </c>
      <c r="J36" s="851">
        <v>951</v>
      </c>
      <c r="K36" s="848">
        <f t="shared" si="4"/>
        <v>1771</v>
      </c>
      <c r="L36" s="851">
        <v>0</v>
      </c>
      <c r="M36" s="851">
        <v>1771</v>
      </c>
      <c r="N36" s="851">
        <v>0</v>
      </c>
    </row>
    <row r="37" spans="1:14" x14ac:dyDescent="0.2">
      <c r="A37" s="2">
        <v>27</v>
      </c>
      <c r="B37" s="461" t="s">
        <v>68</v>
      </c>
      <c r="C37" s="462" t="s">
        <v>69</v>
      </c>
      <c r="D37" s="848">
        <f t="shared" si="1"/>
        <v>28890</v>
      </c>
      <c r="E37" s="851">
        <v>0</v>
      </c>
      <c r="F37" s="851">
        <v>0</v>
      </c>
      <c r="G37" s="851">
        <v>14990</v>
      </c>
      <c r="H37" s="851">
        <v>11858</v>
      </c>
      <c r="I37" s="851">
        <v>854</v>
      </c>
      <c r="J37" s="851">
        <v>366</v>
      </c>
      <c r="K37" s="848">
        <f t="shared" si="4"/>
        <v>822</v>
      </c>
      <c r="L37" s="851">
        <v>0</v>
      </c>
      <c r="M37" s="851">
        <v>822</v>
      </c>
      <c r="N37" s="851">
        <v>0</v>
      </c>
    </row>
    <row r="38" spans="1:14" x14ac:dyDescent="0.2">
      <c r="A38" s="443">
        <v>28</v>
      </c>
      <c r="B38" s="461" t="s">
        <v>70</v>
      </c>
      <c r="C38" s="462" t="s">
        <v>71</v>
      </c>
      <c r="D38" s="848">
        <f t="shared" si="1"/>
        <v>43113</v>
      </c>
      <c r="E38" s="851">
        <v>0</v>
      </c>
      <c r="F38" s="851">
        <v>0</v>
      </c>
      <c r="G38" s="851">
        <v>2180</v>
      </c>
      <c r="H38" s="851">
        <v>38490</v>
      </c>
      <c r="I38" s="851">
        <v>0</v>
      </c>
      <c r="J38" s="851">
        <v>0</v>
      </c>
      <c r="K38" s="848">
        <f t="shared" si="4"/>
        <v>2443</v>
      </c>
      <c r="L38" s="851">
        <v>0</v>
      </c>
      <c r="M38" s="851">
        <v>2443</v>
      </c>
      <c r="N38" s="851">
        <v>0</v>
      </c>
    </row>
    <row r="39" spans="1:14" x14ac:dyDescent="0.2">
      <c r="A39" s="2">
        <v>29</v>
      </c>
      <c r="B39" s="460" t="s">
        <v>72</v>
      </c>
      <c r="C39" s="69" t="s">
        <v>73</v>
      </c>
      <c r="D39" s="848">
        <f t="shared" si="1"/>
        <v>10270</v>
      </c>
      <c r="E39" s="851">
        <v>10270</v>
      </c>
      <c r="F39" s="851">
        <v>0</v>
      </c>
      <c r="G39" s="851">
        <v>0</v>
      </c>
      <c r="H39" s="851">
        <v>0</v>
      </c>
      <c r="I39" s="851">
        <v>0</v>
      </c>
      <c r="J39" s="851">
        <v>0</v>
      </c>
      <c r="K39" s="848">
        <f t="shared" si="4"/>
        <v>0</v>
      </c>
      <c r="L39" s="851">
        <v>0</v>
      </c>
      <c r="M39" s="851">
        <v>0</v>
      </c>
      <c r="N39" s="851">
        <v>0</v>
      </c>
    </row>
    <row r="40" spans="1:14" x14ac:dyDescent="0.2">
      <c r="A40" s="443">
        <v>30</v>
      </c>
      <c r="B40" s="458" t="s">
        <v>74</v>
      </c>
      <c r="C40" s="459" t="s">
        <v>357</v>
      </c>
      <c r="D40" s="848">
        <f t="shared" si="1"/>
        <v>0</v>
      </c>
      <c r="E40" s="851">
        <v>0</v>
      </c>
      <c r="F40" s="851">
        <v>0</v>
      </c>
      <c r="G40" s="851">
        <v>0</v>
      </c>
      <c r="H40" s="851">
        <v>0</v>
      </c>
      <c r="I40" s="851">
        <v>0</v>
      </c>
      <c r="J40" s="851">
        <v>0</v>
      </c>
      <c r="K40" s="848">
        <f t="shared" si="4"/>
        <v>0</v>
      </c>
      <c r="L40" s="851">
        <v>0</v>
      </c>
      <c r="M40" s="851">
        <v>0</v>
      </c>
      <c r="N40" s="851">
        <v>0</v>
      </c>
    </row>
    <row r="41" spans="1:14" x14ac:dyDescent="0.2">
      <c r="A41" s="2">
        <v>31</v>
      </c>
      <c r="B41" s="461" t="s">
        <v>75</v>
      </c>
      <c r="C41" s="462" t="s">
        <v>76</v>
      </c>
      <c r="D41" s="848">
        <f t="shared" si="1"/>
        <v>5666</v>
      </c>
      <c r="E41" s="851">
        <v>0</v>
      </c>
      <c r="F41" s="851">
        <v>0</v>
      </c>
      <c r="G41" s="851">
        <v>500</v>
      </c>
      <c r="H41" s="851">
        <v>5166</v>
      </c>
      <c r="I41" s="851">
        <v>0</v>
      </c>
      <c r="J41" s="851">
        <v>0</v>
      </c>
      <c r="K41" s="848">
        <f t="shared" si="4"/>
        <v>0</v>
      </c>
      <c r="L41" s="851">
        <v>0</v>
      </c>
      <c r="M41" s="851">
        <v>0</v>
      </c>
      <c r="N41" s="851">
        <v>0</v>
      </c>
    </row>
    <row r="42" spans="1:14" x14ac:dyDescent="0.2">
      <c r="A42" s="443">
        <v>32</v>
      </c>
      <c r="B42" s="460" t="s">
        <v>77</v>
      </c>
      <c r="C42" s="459" t="s">
        <v>78</v>
      </c>
      <c r="D42" s="848">
        <f t="shared" si="1"/>
        <v>48445</v>
      </c>
      <c r="E42" s="851">
        <v>0</v>
      </c>
      <c r="F42" s="851">
        <v>0</v>
      </c>
      <c r="G42" s="851">
        <v>17483</v>
      </c>
      <c r="H42" s="851">
        <v>28550</v>
      </c>
      <c r="I42" s="851">
        <v>1025</v>
      </c>
      <c r="J42" s="851">
        <v>439</v>
      </c>
      <c r="K42" s="848">
        <f t="shared" si="4"/>
        <v>948</v>
      </c>
      <c r="L42" s="851">
        <v>0</v>
      </c>
      <c r="M42" s="851">
        <v>948</v>
      </c>
      <c r="N42" s="851">
        <v>0</v>
      </c>
    </row>
    <row r="43" spans="1:14" x14ac:dyDescent="0.2">
      <c r="A43" s="2">
        <v>33</v>
      </c>
      <c r="B43" s="463" t="s">
        <v>79</v>
      </c>
      <c r="C43" s="69" t="s">
        <v>80</v>
      </c>
      <c r="D43" s="848">
        <f t="shared" si="1"/>
        <v>71715</v>
      </c>
      <c r="E43" s="851">
        <v>0</v>
      </c>
      <c r="F43" s="851">
        <v>0</v>
      </c>
      <c r="G43" s="851">
        <v>20949</v>
      </c>
      <c r="H43" s="851">
        <v>49005</v>
      </c>
      <c r="I43" s="851">
        <v>1025</v>
      </c>
      <c r="J43" s="851">
        <v>439</v>
      </c>
      <c r="K43" s="848">
        <f t="shared" si="4"/>
        <v>297</v>
      </c>
      <c r="L43" s="851">
        <v>0</v>
      </c>
      <c r="M43" s="851">
        <v>297</v>
      </c>
      <c r="N43" s="851">
        <v>0</v>
      </c>
    </row>
    <row r="44" spans="1:14" x14ac:dyDescent="0.2">
      <c r="A44" s="443">
        <v>34</v>
      </c>
      <c r="B44" s="460" t="s">
        <v>81</v>
      </c>
      <c r="C44" s="459" t="s">
        <v>82</v>
      </c>
      <c r="D44" s="848">
        <f t="shared" si="1"/>
        <v>12837</v>
      </c>
      <c r="E44" s="851">
        <v>0</v>
      </c>
      <c r="F44" s="851">
        <v>0</v>
      </c>
      <c r="G44" s="851">
        <v>1629</v>
      </c>
      <c r="H44" s="851">
        <v>11208</v>
      </c>
      <c r="I44" s="851">
        <v>0</v>
      </c>
      <c r="J44" s="851">
        <v>0</v>
      </c>
      <c r="K44" s="848">
        <f t="shared" si="4"/>
        <v>0</v>
      </c>
      <c r="L44" s="851">
        <v>0</v>
      </c>
      <c r="M44" s="851">
        <v>0</v>
      </c>
      <c r="N44" s="851">
        <v>0</v>
      </c>
    </row>
    <row r="45" spans="1:14" x14ac:dyDescent="0.2">
      <c r="A45" s="2">
        <v>35</v>
      </c>
      <c r="B45" s="461" t="s">
        <v>83</v>
      </c>
      <c r="C45" s="462" t="s">
        <v>84</v>
      </c>
      <c r="D45" s="848">
        <f t="shared" si="1"/>
        <v>37226</v>
      </c>
      <c r="E45" s="851">
        <v>0</v>
      </c>
      <c r="F45" s="851">
        <v>0</v>
      </c>
      <c r="G45" s="851">
        <v>11292</v>
      </c>
      <c r="H45" s="851">
        <v>25934</v>
      </c>
      <c r="I45" s="851">
        <v>0</v>
      </c>
      <c r="J45" s="851">
        <v>0</v>
      </c>
      <c r="K45" s="848">
        <f t="shared" si="4"/>
        <v>0</v>
      </c>
      <c r="L45" s="851">
        <v>0</v>
      </c>
      <c r="M45" s="851">
        <v>0</v>
      </c>
      <c r="N45" s="851">
        <v>0</v>
      </c>
    </row>
    <row r="46" spans="1:14" x14ac:dyDescent="0.2">
      <c r="A46" s="443">
        <v>36</v>
      </c>
      <c r="B46" s="460" t="s">
        <v>85</v>
      </c>
      <c r="C46" s="459" t="s">
        <v>86</v>
      </c>
      <c r="D46" s="848">
        <f t="shared" si="1"/>
        <v>23286</v>
      </c>
      <c r="E46" s="851">
        <v>0</v>
      </c>
      <c r="F46" s="851">
        <v>0</v>
      </c>
      <c r="G46" s="851">
        <v>3269</v>
      </c>
      <c r="H46" s="851">
        <v>20017</v>
      </c>
      <c r="I46" s="851">
        <v>0</v>
      </c>
      <c r="J46" s="851">
        <v>0</v>
      </c>
      <c r="K46" s="848">
        <f t="shared" si="4"/>
        <v>0</v>
      </c>
      <c r="L46" s="851">
        <v>0</v>
      </c>
      <c r="M46" s="851">
        <v>0</v>
      </c>
      <c r="N46" s="851">
        <v>0</v>
      </c>
    </row>
    <row r="47" spans="1:14" x14ac:dyDescent="0.2">
      <c r="A47" s="2">
        <v>37</v>
      </c>
      <c r="B47" s="458" t="s">
        <v>87</v>
      </c>
      <c r="C47" s="459" t="s">
        <v>88</v>
      </c>
      <c r="D47" s="848">
        <f t="shared" si="1"/>
        <v>65782</v>
      </c>
      <c r="E47" s="851">
        <v>0</v>
      </c>
      <c r="F47" s="851">
        <v>0</v>
      </c>
      <c r="G47" s="851">
        <v>12286</v>
      </c>
      <c r="H47" s="851">
        <v>52032</v>
      </c>
      <c r="I47" s="851">
        <v>1025</v>
      </c>
      <c r="J47" s="851">
        <v>439</v>
      </c>
      <c r="K47" s="848">
        <f t="shared" si="4"/>
        <v>0</v>
      </c>
      <c r="L47" s="851">
        <v>0</v>
      </c>
      <c r="M47" s="851">
        <v>0</v>
      </c>
      <c r="N47" s="851">
        <v>0</v>
      </c>
    </row>
    <row r="48" spans="1:14" x14ac:dyDescent="0.2">
      <c r="A48" s="443">
        <v>38</v>
      </c>
      <c r="B48" s="449" t="s">
        <v>89</v>
      </c>
      <c r="C48" s="450" t="s">
        <v>90</v>
      </c>
      <c r="D48" s="848">
        <f t="shared" si="1"/>
        <v>11721</v>
      </c>
      <c r="E48" s="851">
        <v>0</v>
      </c>
      <c r="F48" s="851">
        <v>0</v>
      </c>
      <c r="G48" s="851">
        <v>4353</v>
      </c>
      <c r="H48" s="851">
        <v>7368</v>
      </c>
      <c r="I48" s="851">
        <v>0</v>
      </c>
      <c r="J48" s="851">
        <v>0</v>
      </c>
      <c r="K48" s="848">
        <f t="shared" si="4"/>
        <v>0</v>
      </c>
      <c r="L48" s="851">
        <v>0</v>
      </c>
      <c r="M48" s="851">
        <v>0</v>
      </c>
      <c r="N48" s="851">
        <v>0</v>
      </c>
    </row>
    <row r="49" spans="1:14" x14ac:dyDescent="0.2">
      <c r="A49" s="2">
        <v>39</v>
      </c>
      <c r="B49" s="458" t="s">
        <v>91</v>
      </c>
      <c r="C49" s="459" t="s">
        <v>92</v>
      </c>
      <c r="D49" s="848">
        <f t="shared" si="1"/>
        <v>9052</v>
      </c>
      <c r="E49" s="851">
        <v>0</v>
      </c>
      <c r="F49" s="851">
        <v>0</v>
      </c>
      <c r="G49" s="851">
        <v>924</v>
      </c>
      <c r="H49" s="851">
        <v>8128</v>
      </c>
      <c r="I49" s="851">
        <v>0</v>
      </c>
      <c r="J49" s="851">
        <v>0</v>
      </c>
      <c r="K49" s="848">
        <f t="shared" si="4"/>
        <v>0</v>
      </c>
      <c r="L49" s="851">
        <v>0</v>
      </c>
      <c r="M49" s="851">
        <v>0</v>
      </c>
      <c r="N49" s="851">
        <v>0</v>
      </c>
    </row>
    <row r="50" spans="1:14" x14ac:dyDescent="0.2">
      <c r="A50" s="443">
        <v>40</v>
      </c>
      <c r="B50" s="463" t="s">
        <v>93</v>
      </c>
      <c r="C50" s="69" t="s">
        <v>94</v>
      </c>
      <c r="D50" s="848">
        <f t="shared" si="1"/>
        <v>17613</v>
      </c>
      <c r="E50" s="851">
        <v>0</v>
      </c>
      <c r="F50" s="851">
        <v>0</v>
      </c>
      <c r="G50" s="851">
        <v>1963</v>
      </c>
      <c r="H50" s="851">
        <v>15650</v>
      </c>
      <c r="I50" s="851">
        <v>0</v>
      </c>
      <c r="J50" s="851">
        <v>0</v>
      </c>
      <c r="K50" s="848">
        <f t="shared" si="4"/>
        <v>0</v>
      </c>
      <c r="L50" s="851">
        <v>0</v>
      </c>
      <c r="M50" s="851">
        <v>0</v>
      </c>
      <c r="N50" s="851">
        <v>0</v>
      </c>
    </row>
    <row r="51" spans="1:14" x14ac:dyDescent="0.2">
      <c r="A51" s="2">
        <v>41</v>
      </c>
      <c r="B51" s="461" t="s">
        <v>95</v>
      </c>
      <c r="C51" s="462" t="s">
        <v>96</v>
      </c>
      <c r="D51" s="848">
        <f t="shared" si="1"/>
        <v>7628</v>
      </c>
      <c r="E51" s="851">
        <v>0</v>
      </c>
      <c r="F51" s="851">
        <v>0</v>
      </c>
      <c r="G51" s="851">
        <v>1576</v>
      </c>
      <c r="H51" s="851">
        <v>6052</v>
      </c>
      <c r="I51" s="851">
        <v>0</v>
      </c>
      <c r="J51" s="851">
        <v>0</v>
      </c>
      <c r="K51" s="848">
        <f t="shared" si="4"/>
        <v>0</v>
      </c>
      <c r="L51" s="851">
        <v>0</v>
      </c>
      <c r="M51" s="851">
        <v>0</v>
      </c>
      <c r="N51" s="851">
        <v>0</v>
      </c>
    </row>
    <row r="52" spans="1:14" x14ac:dyDescent="0.2">
      <c r="A52" s="443">
        <v>42</v>
      </c>
      <c r="B52" s="460" t="s">
        <v>97</v>
      </c>
      <c r="C52" s="459" t="s">
        <v>98</v>
      </c>
      <c r="D52" s="848">
        <f t="shared" si="1"/>
        <v>9262</v>
      </c>
      <c r="E52" s="851">
        <v>0</v>
      </c>
      <c r="F52" s="851">
        <v>0</v>
      </c>
      <c r="G52" s="851">
        <v>222</v>
      </c>
      <c r="H52" s="851">
        <v>9040</v>
      </c>
      <c r="I52" s="851">
        <v>0</v>
      </c>
      <c r="J52" s="851">
        <v>0</v>
      </c>
      <c r="K52" s="848">
        <f t="shared" si="4"/>
        <v>0</v>
      </c>
      <c r="L52" s="851">
        <v>0</v>
      </c>
      <c r="M52" s="851">
        <v>0</v>
      </c>
      <c r="N52" s="851">
        <v>0</v>
      </c>
    </row>
    <row r="53" spans="1:14" x14ac:dyDescent="0.2">
      <c r="A53" s="2">
        <v>43</v>
      </c>
      <c r="B53" s="461" t="s">
        <v>99</v>
      </c>
      <c r="C53" s="462" t="s">
        <v>100</v>
      </c>
      <c r="D53" s="848">
        <f t="shared" si="1"/>
        <v>70724</v>
      </c>
      <c r="E53" s="851">
        <v>0</v>
      </c>
      <c r="F53" s="851">
        <v>0</v>
      </c>
      <c r="G53" s="851">
        <v>9828</v>
      </c>
      <c r="H53" s="851">
        <v>57448</v>
      </c>
      <c r="I53" s="851">
        <v>1025</v>
      </c>
      <c r="J53" s="851">
        <v>439</v>
      </c>
      <c r="K53" s="848">
        <f t="shared" si="4"/>
        <v>1984</v>
      </c>
      <c r="L53" s="851">
        <v>0</v>
      </c>
      <c r="M53" s="851">
        <v>1984</v>
      </c>
      <c r="N53" s="851">
        <v>0</v>
      </c>
    </row>
    <row r="54" spans="1:14" x14ac:dyDescent="0.2">
      <c r="A54" s="443">
        <v>44</v>
      </c>
      <c r="B54" s="458" t="s">
        <v>101</v>
      </c>
      <c r="C54" s="459" t="s">
        <v>102</v>
      </c>
      <c r="D54" s="848">
        <f t="shared" si="1"/>
        <v>16456</v>
      </c>
      <c r="E54" s="851">
        <v>0</v>
      </c>
      <c r="F54" s="851">
        <v>0</v>
      </c>
      <c r="G54" s="851">
        <v>1413</v>
      </c>
      <c r="H54" s="851">
        <v>15043</v>
      </c>
      <c r="I54" s="851">
        <v>0</v>
      </c>
      <c r="J54" s="851">
        <v>0</v>
      </c>
      <c r="K54" s="848">
        <f t="shared" si="4"/>
        <v>0</v>
      </c>
      <c r="L54" s="851">
        <v>0</v>
      </c>
      <c r="M54" s="851">
        <v>0</v>
      </c>
      <c r="N54" s="851">
        <v>0</v>
      </c>
    </row>
    <row r="55" spans="1:14" x14ac:dyDescent="0.2">
      <c r="A55" s="2">
        <v>45</v>
      </c>
      <c r="B55" s="458" t="s">
        <v>103</v>
      </c>
      <c r="C55" s="459" t="s">
        <v>104</v>
      </c>
      <c r="D55" s="848">
        <f t="shared" si="1"/>
        <v>71509</v>
      </c>
      <c r="E55" s="851">
        <v>0</v>
      </c>
      <c r="F55" s="851">
        <v>0</v>
      </c>
      <c r="G55" s="851">
        <v>13818</v>
      </c>
      <c r="H55" s="851">
        <v>56183</v>
      </c>
      <c r="I55" s="851">
        <v>1025</v>
      </c>
      <c r="J55" s="851">
        <v>439</v>
      </c>
      <c r="K55" s="848">
        <f t="shared" si="4"/>
        <v>44</v>
      </c>
      <c r="L55" s="851">
        <v>0</v>
      </c>
      <c r="M55" s="851">
        <v>44</v>
      </c>
      <c r="N55" s="851">
        <v>0</v>
      </c>
    </row>
    <row r="56" spans="1:14" x14ac:dyDescent="0.2">
      <c r="A56" s="443">
        <v>46</v>
      </c>
      <c r="B56" s="461" t="s">
        <v>105</v>
      </c>
      <c r="C56" s="462" t="s">
        <v>106</v>
      </c>
      <c r="D56" s="848">
        <f t="shared" si="1"/>
        <v>11768</v>
      </c>
      <c r="E56" s="851">
        <v>0</v>
      </c>
      <c r="F56" s="851">
        <v>0</v>
      </c>
      <c r="G56" s="851">
        <v>1684</v>
      </c>
      <c r="H56" s="851">
        <v>10084</v>
      </c>
      <c r="I56" s="851">
        <v>0</v>
      </c>
      <c r="J56" s="851">
        <v>0</v>
      </c>
      <c r="K56" s="848">
        <f t="shared" si="4"/>
        <v>0</v>
      </c>
      <c r="L56" s="851">
        <v>0</v>
      </c>
      <c r="M56" s="851">
        <v>0</v>
      </c>
      <c r="N56" s="851">
        <v>0</v>
      </c>
    </row>
    <row r="57" spans="1:14" x14ac:dyDescent="0.2">
      <c r="A57" s="2">
        <v>47</v>
      </c>
      <c r="B57" s="461" t="s">
        <v>107</v>
      </c>
      <c r="C57" s="462" t="s">
        <v>108</v>
      </c>
      <c r="D57" s="848">
        <f t="shared" si="1"/>
        <v>14490</v>
      </c>
      <c r="E57" s="851">
        <v>0</v>
      </c>
      <c r="F57" s="851">
        <v>0</v>
      </c>
      <c r="G57" s="851">
        <v>7037</v>
      </c>
      <c r="H57" s="851">
        <v>7453</v>
      </c>
      <c r="I57" s="851">
        <v>0</v>
      </c>
      <c r="J57" s="851">
        <v>0</v>
      </c>
      <c r="K57" s="848">
        <f t="shared" si="4"/>
        <v>0</v>
      </c>
      <c r="L57" s="851">
        <v>0</v>
      </c>
      <c r="M57" s="851">
        <v>0</v>
      </c>
      <c r="N57" s="851">
        <v>0</v>
      </c>
    </row>
    <row r="58" spans="1:14" x14ac:dyDescent="0.2">
      <c r="A58" s="443">
        <v>48</v>
      </c>
      <c r="B58" s="460" t="s">
        <v>109</v>
      </c>
      <c r="C58" s="459" t="s">
        <v>110</v>
      </c>
      <c r="D58" s="848">
        <f t="shared" si="1"/>
        <v>36780</v>
      </c>
      <c r="E58" s="851">
        <v>0</v>
      </c>
      <c r="F58" s="851">
        <v>0</v>
      </c>
      <c r="G58" s="851">
        <v>6242</v>
      </c>
      <c r="H58" s="851">
        <v>29074</v>
      </c>
      <c r="I58" s="851">
        <v>1025</v>
      </c>
      <c r="J58" s="851">
        <v>439</v>
      </c>
      <c r="K58" s="848">
        <f t="shared" si="4"/>
        <v>0</v>
      </c>
      <c r="L58" s="851">
        <v>0</v>
      </c>
      <c r="M58" s="851">
        <v>0</v>
      </c>
      <c r="N58" s="851">
        <v>0</v>
      </c>
    </row>
    <row r="59" spans="1:14" x14ac:dyDescent="0.2">
      <c r="A59" s="2">
        <v>49</v>
      </c>
      <c r="B59" s="461" t="s">
        <v>111</v>
      </c>
      <c r="C59" s="462" t="s">
        <v>112</v>
      </c>
      <c r="D59" s="848">
        <f t="shared" si="1"/>
        <v>4066</v>
      </c>
      <c r="E59" s="851">
        <v>0</v>
      </c>
      <c r="F59" s="851">
        <v>0</v>
      </c>
      <c r="G59" s="851">
        <v>809</v>
      </c>
      <c r="H59" s="851">
        <v>3257</v>
      </c>
      <c r="I59" s="851">
        <v>0</v>
      </c>
      <c r="J59" s="851">
        <v>0</v>
      </c>
      <c r="K59" s="848">
        <f t="shared" si="4"/>
        <v>0</v>
      </c>
      <c r="L59" s="851">
        <v>0</v>
      </c>
      <c r="M59" s="851">
        <v>0</v>
      </c>
      <c r="N59" s="851">
        <v>0</v>
      </c>
    </row>
    <row r="60" spans="1:14" x14ac:dyDescent="0.2">
      <c r="A60" s="443">
        <v>50</v>
      </c>
      <c r="B60" s="460" t="s">
        <v>113</v>
      </c>
      <c r="C60" s="459" t="s">
        <v>114</v>
      </c>
      <c r="D60" s="848">
        <f t="shared" si="1"/>
        <v>15900</v>
      </c>
      <c r="E60" s="851">
        <v>0</v>
      </c>
      <c r="F60" s="851">
        <v>0</v>
      </c>
      <c r="G60" s="851">
        <v>2138</v>
      </c>
      <c r="H60" s="851">
        <v>12298</v>
      </c>
      <c r="I60" s="851">
        <v>1025</v>
      </c>
      <c r="J60" s="851">
        <v>439</v>
      </c>
      <c r="K60" s="848">
        <f t="shared" si="4"/>
        <v>0</v>
      </c>
      <c r="L60" s="851">
        <v>0</v>
      </c>
      <c r="M60" s="851">
        <v>0</v>
      </c>
      <c r="N60" s="851">
        <v>0</v>
      </c>
    </row>
    <row r="61" spans="1:14" x14ac:dyDescent="0.2">
      <c r="A61" s="2">
        <v>51</v>
      </c>
      <c r="B61" s="461" t="s">
        <v>115</v>
      </c>
      <c r="C61" s="462" t="s">
        <v>116</v>
      </c>
      <c r="D61" s="848">
        <f t="shared" si="1"/>
        <v>16099</v>
      </c>
      <c r="E61" s="851">
        <v>0</v>
      </c>
      <c r="F61" s="851">
        <v>0</v>
      </c>
      <c r="G61" s="851">
        <v>2344</v>
      </c>
      <c r="H61" s="851">
        <v>13755</v>
      </c>
      <c r="I61" s="851">
        <v>0</v>
      </c>
      <c r="J61" s="851">
        <v>0</v>
      </c>
      <c r="K61" s="848">
        <f t="shared" si="4"/>
        <v>0</v>
      </c>
      <c r="L61" s="851">
        <v>0</v>
      </c>
      <c r="M61" s="851">
        <v>0</v>
      </c>
      <c r="N61" s="851">
        <v>0</v>
      </c>
    </row>
    <row r="62" spans="1:14" x14ac:dyDescent="0.2">
      <c r="A62" s="443">
        <v>52</v>
      </c>
      <c r="B62" s="461" t="s">
        <v>117</v>
      </c>
      <c r="C62" s="462" t="s">
        <v>118</v>
      </c>
      <c r="D62" s="848">
        <f t="shared" si="1"/>
        <v>99832</v>
      </c>
      <c r="E62" s="851">
        <v>0</v>
      </c>
      <c r="F62" s="851">
        <v>0</v>
      </c>
      <c r="G62" s="851">
        <v>25213</v>
      </c>
      <c r="H62" s="851">
        <v>72259</v>
      </c>
      <c r="I62" s="851">
        <v>1025</v>
      </c>
      <c r="J62" s="851">
        <v>439</v>
      </c>
      <c r="K62" s="848">
        <f t="shared" si="4"/>
        <v>896</v>
      </c>
      <c r="L62" s="851">
        <v>0</v>
      </c>
      <c r="M62" s="851">
        <v>896</v>
      </c>
      <c r="N62" s="851">
        <v>0</v>
      </c>
    </row>
    <row r="63" spans="1:14" x14ac:dyDescent="0.2">
      <c r="A63" s="2">
        <v>53</v>
      </c>
      <c r="B63" s="461" t="s">
        <v>119</v>
      </c>
      <c r="C63" s="462" t="s">
        <v>120</v>
      </c>
      <c r="D63" s="848">
        <f t="shared" si="1"/>
        <v>7472</v>
      </c>
      <c r="E63" s="851">
        <v>0</v>
      </c>
      <c r="F63" s="851">
        <v>0</v>
      </c>
      <c r="G63" s="851">
        <v>2882</v>
      </c>
      <c r="H63" s="851">
        <v>4590</v>
      </c>
      <c r="I63" s="851">
        <v>0</v>
      </c>
      <c r="J63" s="851">
        <v>0</v>
      </c>
      <c r="K63" s="848">
        <f t="shared" si="4"/>
        <v>0</v>
      </c>
      <c r="L63" s="851">
        <v>0</v>
      </c>
      <c r="M63" s="851">
        <v>0</v>
      </c>
      <c r="N63" s="851">
        <v>0</v>
      </c>
    </row>
    <row r="64" spans="1:14" x14ac:dyDescent="0.2">
      <c r="A64" s="443">
        <v>54</v>
      </c>
      <c r="B64" s="461" t="s">
        <v>121</v>
      </c>
      <c r="C64" s="462" t="s">
        <v>122</v>
      </c>
      <c r="D64" s="848">
        <f t="shared" si="1"/>
        <v>0</v>
      </c>
      <c r="E64" s="851">
        <v>0</v>
      </c>
      <c r="F64" s="851">
        <v>0</v>
      </c>
      <c r="G64" s="851">
        <v>0</v>
      </c>
      <c r="H64" s="851">
        <v>0</v>
      </c>
      <c r="I64" s="851">
        <v>0</v>
      </c>
      <c r="J64" s="851">
        <v>0</v>
      </c>
      <c r="K64" s="848">
        <f t="shared" si="4"/>
        <v>0</v>
      </c>
      <c r="L64" s="851">
        <v>0</v>
      </c>
      <c r="M64" s="851">
        <v>0</v>
      </c>
      <c r="N64" s="851">
        <v>0</v>
      </c>
    </row>
    <row r="65" spans="1:14" x14ac:dyDescent="0.2">
      <c r="A65" s="2">
        <v>55</v>
      </c>
      <c r="B65" s="461" t="s">
        <v>123</v>
      </c>
      <c r="C65" s="462" t="s">
        <v>124</v>
      </c>
      <c r="D65" s="848">
        <f t="shared" si="1"/>
        <v>0</v>
      </c>
      <c r="E65" s="851">
        <v>0</v>
      </c>
      <c r="F65" s="851">
        <v>0</v>
      </c>
      <c r="G65" s="851">
        <v>0</v>
      </c>
      <c r="H65" s="851">
        <v>0</v>
      </c>
      <c r="I65" s="851">
        <v>0</v>
      </c>
      <c r="J65" s="851">
        <v>0</v>
      </c>
      <c r="K65" s="848">
        <f t="shared" si="4"/>
        <v>0</v>
      </c>
      <c r="L65" s="851">
        <v>0</v>
      </c>
      <c r="M65" s="851">
        <v>0</v>
      </c>
      <c r="N65" s="851">
        <v>0</v>
      </c>
    </row>
    <row r="66" spans="1:14" x14ac:dyDescent="0.2">
      <c r="A66" s="443">
        <v>56</v>
      </c>
      <c r="B66" s="464" t="s">
        <v>125</v>
      </c>
      <c r="C66" s="69" t="s">
        <v>126</v>
      </c>
      <c r="D66" s="848">
        <f t="shared" si="1"/>
        <v>0</v>
      </c>
      <c r="E66" s="851">
        <v>0</v>
      </c>
      <c r="F66" s="851">
        <v>0</v>
      </c>
      <c r="G66" s="851">
        <v>0</v>
      </c>
      <c r="H66" s="851">
        <v>0</v>
      </c>
      <c r="I66" s="851">
        <v>0</v>
      </c>
      <c r="J66" s="851">
        <v>0</v>
      </c>
      <c r="K66" s="848">
        <f t="shared" si="4"/>
        <v>0</v>
      </c>
      <c r="L66" s="851">
        <v>0</v>
      </c>
      <c r="M66" s="851">
        <v>0</v>
      </c>
      <c r="N66" s="851">
        <v>0</v>
      </c>
    </row>
    <row r="67" spans="1:14" x14ac:dyDescent="0.2">
      <c r="A67" s="2">
        <v>57</v>
      </c>
      <c r="B67" s="461" t="s">
        <v>127</v>
      </c>
      <c r="C67" s="462" t="s">
        <v>128</v>
      </c>
      <c r="D67" s="848">
        <f t="shared" si="1"/>
        <v>61210</v>
      </c>
      <c r="E67" s="851">
        <v>0</v>
      </c>
      <c r="F67" s="851">
        <v>0</v>
      </c>
      <c r="G67" s="851">
        <v>3000</v>
      </c>
      <c r="H67" s="851">
        <v>56425</v>
      </c>
      <c r="I67" s="851">
        <v>0</v>
      </c>
      <c r="J67" s="851">
        <v>0</v>
      </c>
      <c r="K67" s="848">
        <f t="shared" si="4"/>
        <v>1785</v>
      </c>
      <c r="L67" s="851">
        <v>0</v>
      </c>
      <c r="M67" s="851">
        <v>1785</v>
      </c>
      <c r="N67" s="851">
        <v>0</v>
      </c>
    </row>
    <row r="68" spans="1:14" x14ac:dyDescent="0.2">
      <c r="A68" s="443">
        <v>58</v>
      </c>
      <c r="B68" s="460" t="s">
        <v>129</v>
      </c>
      <c r="C68" s="462" t="s">
        <v>130</v>
      </c>
      <c r="D68" s="848">
        <f t="shared" si="1"/>
        <v>54395</v>
      </c>
      <c r="E68" s="851">
        <v>0</v>
      </c>
      <c r="F68" s="851">
        <v>0</v>
      </c>
      <c r="G68" s="851">
        <v>1360</v>
      </c>
      <c r="H68" s="851">
        <v>53035</v>
      </c>
      <c r="I68" s="851">
        <v>0</v>
      </c>
      <c r="J68" s="851">
        <v>0</v>
      </c>
      <c r="K68" s="848">
        <f t="shared" si="4"/>
        <v>0</v>
      </c>
      <c r="L68" s="851">
        <v>0</v>
      </c>
      <c r="M68" s="851">
        <v>0</v>
      </c>
      <c r="N68" s="851">
        <v>0</v>
      </c>
    </row>
    <row r="69" spans="1:14" x14ac:dyDescent="0.2">
      <c r="A69" s="2">
        <v>59</v>
      </c>
      <c r="B69" s="463" t="s">
        <v>131</v>
      </c>
      <c r="C69" s="69" t="s">
        <v>132</v>
      </c>
      <c r="D69" s="848">
        <f t="shared" si="1"/>
        <v>71864</v>
      </c>
      <c r="E69" s="851">
        <v>0</v>
      </c>
      <c r="F69" s="851">
        <v>0</v>
      </c>
      <c r="G69" s="851">
        <v>8400</v>
      </c>
      <c r="H69" s="851">
        <v>63464</v>
      </c>
      <c r="I69" s="851">
        <v>0</v>
      </c>
      <c r="J69" s="851">
        <v>0</v>
      </c>
      <c r="K69" s="848">
        <f t="shared" si="4"/>
        <v>0</v>
      </c>
      <c r="L69" s="851">
        <v>0</v>
      </c>
      <c r="M69" s="851">
        <v>0</v>
      </c>
      <c r="N69" s="851">
        <v>0</v>
      </c>
    </row>
    <row r="70" spans="1:14" x14ac:dyDescent="0.2">
      <c r="A70" s="443">
        <v>60</v>
      </c>
      <c r="B70" s="460" t="s">
        <v>133</v>
      </c>
      <c r="C70" s="462" t="s">
        <v>134</v>
      </c>
      <c r="D70" s="848">
        <f t="shared" si="1"/>
        <v>77238</v>
      </c>
      <c r="E70" s="851">
        <v>0</v>
      </c>
      <c r="F70" s="851">
        <v>0</v>
      </c>
      <c r="G70" s="851">
        <v>11227</v>
      </c>
      <c r="H70" s="851">
        <v>66011</v>
      </c>
      <c r="I70" s="851">
        <v>0</v>
      </c>
      <c r="J70" s="851">
        <v>0</v>
      </c>
      <c r="K70" s="848">
        <f t="shared" si="4"/>
        <v>0</v>
      </c>
      <c r="L70" s="851">
        <v>0</v>
      </c>
      <c r="M70" s="851">
        <v>0</v>
      </c>
      <c r="N70" s="851">
        <v>0</v>
      </c>
    </row>
    <row r="71" spans="1:14" ht="24" x14ac:dyDescent="0.2">
      <c r="A71" s="2">
        <v>61</v>
      </c>
      <c r="B71" s="461" t="s">
        <v>135</v>
      </c>
      <c r="C71" s="462" t="s">
        <v>136</v>
      </c>
      <c r="D71" s="848">
        <f t="shared" si="1"/>
        <v>43029</v>
      </c>
      <c r="E71" s="851">
        <v>0</v>
      </c>
      <c r="F71" s="851">
        <v>0</v>
      </c>
      <c r="G71" s="851">
        <v>3577</v>
      </c>
      <c r="H71" s="851">
        <v>39452</v>
      </c>
      <c r="I71" s="851">
        <v>0</v>
      </c>
      <c r="J71" s="851">
        <v>0</v>
      </c>
      <c r="K71" s="848">
        <f t="shared" si="4"/>
        <v>0</v>
      </c>
      <c r="L71" s="851">
        <v>0</v>
      </c>
      <c r="M71" s="851">
        <v>0</v>
      </c>
      <c r="N71" s="851">
        <v>0</v>
      </c>
    </row>
    <row r="72" spans="1:14" ht="24" x14ac:dyDescent="0.2">
      <c r="A72" s="443">
        <v>62</v>
      </c>
      <c r="B72" s="458" t="s">
        <v>137</v>
      </c>
      <c r="C72" s="462" t="s">
        <v>138</v>
      </c>
      <c r="D72" s="848">
        <f t="shared" si="1"/>
        <v>30402</v>
      </c>
      <c r="E72" s="851">
        <v>30402</v>
      </c>
      <c r="F72" s="851">
        <v>0</v>
      </c>
      <c r="G72" s="851">
        <v>0</v>
      </c>
      <c r="H72" s="851">
        <v>0</v>
      </c>
      <c r="I72" s="851">
        <v>0</v>
      </c>
      <c r="J72" s="851">
        <v>0</v>
      </c>
      <c r="K72" s="848">
        <f t="shared" si="4"/>
        <v>0</v>
      </c>
      <c r="L72" s="851">
        <v>0</v>
      </c>
      <c r="M72" s="851">
        <v>0</v>
      </c>
      <c r="N72" s="851">
        <v>0</v>
      </c>
    </row>
    <row r="73" spans="1:14" ht="24" x14ac:dyDescent="0.2">
      <c r="A73" s="2">
        <v>63</v>
      </c>
      <c r="B73" s="458" t="s">
        <v>139</v>
      </c>
      <c r="C73" s="462" t="s">
        <v>140</v>
      </c>
      <c r="D73" s="848">
        <f t="shared" ref="D73:D136" si="5">E73+G73+H73+I73+J73+K73</f>
        <v>15383</v>
      </c>
      <c r="E73" s="851">
        <v>15383</v>
      </c>
      <c r="F73" s="851">
        <v>0</v>
      </c>
      <c r="G73" s="851">
        <v>0</v>
      </c>
      <c r="H73" s="851">
        <v>0</v>
      </c>
      <c r="I73" s="851">
        <v>0</v>
      </c>
      <c r="J73" s="851">
        <v>0</v>
      </c>
      <c r="K73" s="848">
        <f t="shared" si="4"/>
        <v>0</v>
      </c>
      <c r="L73" s="851">
        <v>0</v>
      </c>
      <c r="M73" s="851">
        <v>0</v>
      </c>
      <c r="N73" s="851">
        <v>0</v>
      </c>
    </row>
    <row r="74" spans="1:14" x14ac:dyDescent="0.2">
      <c r="A74" s="443">
        <v>64</v>
      </c>
      <c r="B74" s="460" t="s">
        <v>141</v>
      </c>
      <c r="C74" s="462" t="s">
        <v>142</v>
      </c>
      <c r="D74" s="848">
        <f t="shared" si="5"/>
        <v>50302</v>
      </c>
      <c r="E74" s="851">
        <v>0</v>
      </c>
      <c r="F74" s="851">
        <v>0</v>
      </c>
      <c r="G74" s="851">
        <v>14749</v>
      </c>
      <c r="H74" s="851">
        <v>34089</v>
      </c>
      <c r="I74" s="851">
        <v>1025</v>
      </c>
      <c r="J74" s="851">
        <v>439</v>
      </c>
      <c r="K74" s="848">
        <f t="shared" si="4"/>
        <v>0</v>
      </c>
      <c r="L74" s="851">
        <v>0</v>
      </c>
      <c r="M74" s="851">
        <v>0</v>
      </c>
      <c r="N74" s="851">
        <v>0</v>
      </c>
    </row>
    <row r="75" spans="1:14" x14ac:dyDescent="0.2">
      <c r="A75" s="2">
        <v>65</v>
      </c>
      <c r="B75" s="460" t="s">
        <v>143</v>
      </c>
      <c r="C75" s="459" t="s">
        <v>144</v>
      </c>
      <c r="D75" s="848">
        <f t="shared" si="5"/>
        <v>9878</v>
      </c>
      <c r="E75" s="851">
        <v>0</v>
      </c>
      <c r="F75" s="851">
        <v>0</v>
      </c>
      <c r="G75" s="851">
        <v>2998</v>
      </c>
      <c r="H75" s="851">
        <v>5416</v>
      </c>
      <c r="I75" s="851">
        <v>1025</v>
      </c>
      <c r="J75" s="851">
        <v>439</v>
      </c>
      <c r="K75" s="848">
        <f t="shared" si="4"/>
        <v>0</v>
      </c>
      <c r="L75" s="851">
        <v>0</v>
      </c>
      <c r="M75" s="851">
        <v>0</v>
      </c>
      <c r="N75" s="851">
        <v>0</v>
      </c>
    </row>
    <row r="76" spans="1:14" x14ac:dyDescent="0.2">
      <c r="A76" s="443">
        <v>66</v>
      </c>
      <c r="B76" s="460" t="s">
        <v>145</v>
      </c>
      <c r="C76" s="462" t="s">
        <v>146</v>
      </c>
      <c r="D76" s="848">
        <f t="shared" si="5"/>
        <v>33256</v>
      </c>
      <c r="E76" s="851">
        <v>0</v>
      </c>
      <c r="F76" s="851">
        <v>0</v>
      </c>
      <c r="G76" s="851">
        <v>15343</v>
      </c>
      <c r="H76" s="851">
        <v>16449</v>
      </c>
      <c r="I76" s="851">
        <v>1025</v>
      </c>
      <c r="J76" s="851">
        <v>439</v>
      </c>
      <c r="K76" s="848">
        <f t="shared" si="4"/>
        <v>0</v>
      </c>
      <c r="L76" s="851">
        <v>0</v>
      </c>
      <c r="M76" s="851">
        <v>0</v>
      </c>
      <c r="N76" s="851">
        <v>0</v>
      </c>
    </row>
    <row r="77" spans="1:14" ht="24" x14ac:dyDescent="0.2">
      <c r="A77" s="2">
        <v>67</v>
      </c>
      <c r="B77" s="460" t="s">
        <v>147</v>
      </c>
      <c r="C77" s="462" t="s">
        <v>148</v>
      </c>
      <c r="D77" s="848">
        <f t="shared" si="5"/>
        <v>1989</v>
      </c>
      <c r="E77" s="851">
        <v>1989</v>
      </c>
      <c r="F77" s="851">
        <v>0</v>
      </c>
      <c r="G77" s="851">
        <v>0</v>
      </c>
      <c r="H77" s="851">
        <v>0</v>
      </c>
      <c r="I77" s="851">
        <v>0</v>
      </c>
      <c r="J77" s="851">
        <v>0</v>
      </c>
      <c r="K77" s="848">
        <f t="shared" si="4"/>
        <v>0</v>
      </c>
      <c r="L77" s="851">
        <v>0</v>
      </c>
      <c r="M77" s="851">
        <v>0</v>
      </c>
      <c r="N77" s="851">
        <v>0</v>
      </c>
    </row>
    <row r="78" spans="1:14" ht="24" x14ac:dyDescent="0.2">
      <c r="A78" s="443">
        <v>68</v>
      </c>
      <c r="B78" s="458" t="s">
        <v>149</v>
      </c>
      <c r="C78" s="462" t="s">
        <v>150</v>
      </c>
      <c r="D78" s="848">
        <f t="shared" si="5"/>
        <v>2981</v>
      </c>
      <c r="E78" s="851">
        <v>2981</v>
      </c>
      <c r="F78" s="851">
        <v>0</v>
      </c>
      <c r="G78" s="851">
        <v>0</v>
      </c>
      <c r="H78" s="851">
        <v>0</v>
      </c>
      <c r="I78" s="851">
        <v>0</v>
      </c>
      <c r="J78" s="851">
        <v>0</v>
      </c>
      <c r="K78" s="848">
        <f t="shared" ref="K78:K141" si="6">L78+M78</f>
        <v>0</v>
      </c>
      <c r="L78" s="851">
        <v>0</v>
      </c>
      <c r="M78" s="851">
        <v>0</v>
      </c>
      <c r="N78" s="851">
        <v>0</v>
      </c>
    </row>
    <row r="79" spans="1:14" ht="24" x14ac:dyDescent="0.2">
      <c r="A79" s="2">
        <v>69</v>
      </c>
      <c r="B79" s="460" t="s">
        <v>151</v>
      </c>
      <c r="C79" s="462" t="s">
        <v>152</v>
      </c>
      <c r="D79" s="848">
        <f t="shared" si="5"/>
        <v>3503</v>
      </c>
      <c r="E79" s="851">
        <v>3503</v>
      </c>
      <c r="F79" s="851">
        <v>0</v>
      </c>
      <c r="G79" s="851">
        <v>0</v>
      </c>
      <c r="H79" s="851">
        <v>0</v>
      </c>
      <c r="I79" s="851">
        <v>0</v>
      </c>
      <c r="J79" s="851">
        <v>0</v>
      </c>
      <c r="K79" s="848">
        <f t="shared" si="6"/>
        <v>0</v>
      </c>
      <c r="L79" s="851">
        <v>0</v>
      </c>
      <c r="M79" s="851">
        <v>0</v>
      </c>
      <c r="N79" s="851">
        <v>0</v>
      </c>
    </row>
    <row r="80" spans="1:14" ht="24" x14ac:dyDescent="0.2">
      <c r="A80" s="443">
        <v>70</v>
      </c>
      <c r="B80" s="460" t="s">
        <v>153</v>
      </c>
      <c r="C80" s="462" t="s">
        <v>154</v>
      </c>
      <c r="D80" s="848">
        <f t="shared" si="5"/>
        <v>2599</v>
      </c>
      <c r="E80" s="851">
        <v>2599</v>
      </c>
      <c r="F80" s="851">
        <v>0</v>
      </c>
      <c r="G80" s="851">
        <v>0</v>
      </c>
      <c r="H80" s="851">
        <v>0</v>
      </c>
      <c r="I80" s="851">
        <v>0</v>
      </c>
      <c r="J80" s="851">
        <v>0</v>
      </c>
      <c r="K80" s="848">
        <f t="shared" si="6"/>
        <v>0</v>
      </c>
      <c r="L80" s="851">
        <v>0</v>
      </c>
      <c r="M80" s="851">
        <v>0</v>
      </c>
      <c r="N80" s="851">
        <v>0</v>
      </c>
    </row>
    <row r="81" spans="1:14" ht="24" x14ac:dyDescent="0.2">
      <c r="A81" s="2">
        <v>71</v>
      </c>
      <c r="B81" s="458" t="s">
        <v>155</v>
      </c>
      <c r="C81" s="462" t="s">
        <v>156</v>
      </c>
      <c r="D81" s="848">
        <f t="shared" si="5"/>
        <v>13091</v>
      </c>
      <c r="E81" s="851">
        <v>13091</v>
      </c>
      <c r="F81" s="851">
        <v>0</v>
      </c>
      <c r="G81" s="851">
        <v>0</v>
      </c>
      <c r="H81" s="851">
        <v>0</v>
      </c>
      <c r="I81" s="851">
        <v>0</v>
      </c>
      <c r="J81" s="851">
        <v>0</v>
      </c>
      <c r="K81" s="848">
        <f t="shared" si="6"/>
        <v>0</v>
      </c>
      <c r="L81" s="851">
        <v>0</v>
      </c>
      <c r="M81" s="851">
        <v>0</v>
      </c>
      <c r="N81" s="851">
        <v>0</v>
      </c>
    </row>
    <row r="82" spans="1:14" ht="24" x14ac:dyDescent="0.2">
      <c r="A82" s="443">
        <v>72</v>
      </c>
      <c r="B82" s="458" t="s">
        <v>157</v>
      </c>
      <c r="C82" s="462" t="s">
        <v>158</v>
      </c>
      <c r="D82" s="848">
        <f t="shared" si="5"/>
        <v>2405</v>
      </c>
      <c r="E82" s="851">
        <v>2405</v>
      </c>
      <c r="F82" s="851">
        <v>0</v>
      </c>
      <c r="G82" s="851">
        <v>0</v>
      </c>
      <c r="H82" s="851">
        <v>0</v>
      </c>
      <c r="I82" s="851">
        <v>0</v>
      </c>
      <c r="J82" s="851">
        <v>0</v>
      </c>
      <c r="K82" s="848">
        <f t="shared" si="6"/>
        <v>0</v>
      </c>
      <c r="L82" s="851">
        <v>0</v>
      </c>
      <c r="M82" s="851">
        <v>0</v>
      </c>
      <c r="N82" s="851">
        <v>0</v>
      </c>
    </row>
    <row r="83" spans="1:14" ht="24" x14ac:dyDescent="0.2">
      <c r="A83" s="2">
        <v>73</v>
      </c>
      <c r="B83" s="458" t="s">
        <v>159</v>
      </c>
      <c r="C83" s="462" t="s">
        <v>160</v>
      </c>
      <c r="D83" s="848">
        <f t="shared" si="5"/>
        <v>2593</v>
      </c>
      <c r="E83" s="851">
        <v>2593</v>
      </c>
      <c r="F83" s="851">
        <v>0</v>
      </c>
      <c r="G83" s="851">
        <v>0</v>
      </c>
      <c r="H83" s="851">
        <v>0</v>
      </c>
      <c r="I83" s="851">
        <v>0</v>
      </c>
      <c r="J83" s="851">
        <v>0</v>
      </c>
      <c r="K83" s="848">
        <f t="shared" si="6"/>
        <v>0</v>
      </c>
      <c r="L83" s="851">
        <v>0</v>
      </c>
      <c r="M83" s="851">
        <v>0</v>
      </c>
      <c r="N83" s="851">
        <v>0</v>
      </c>
    </row>
    <row r="84" spans="1:14" x14ac:dyDescent="0.2">
      <c r="A84" s="443">
        <v>74</v>
      </c>
      <c r="B84" s="461" t="s">
        <v>161</v>
      </c>
      <c r="C84" s="462" t="s">
        <v>162</v>
      </c>
      <c r="D84" s="848">
        <f t="shared" si="5"/>
        <v>56475</v>
      </c>
      <c r="E84" s="851">
        <v>0</v>
      </c>
      <c r="F84" s="851">
        <v>0</v>
      </c>
      <c r="G84" s="851">
        <v>8821</v>
      </c>
      <c r="H84" s="851">
        <v>47654</v>
      </c>
      <c r="I84" s="851">
        <v>0</v>
      </c>
      <c r="J84" s="851">
        <v>0</v>
      </c>
      <c r="K84" s="848">
        <f t="shared" si="6"/>
        <v>0</v>
      </c>
      <c r="L84" s="851">
        <v>0</v>
      </c>
      <c r="M84" s="851">
        <v>0</v>
      </c>
      <c r="N84" s="851">
        <v>0</v>
      </c>
    </row>
    <row r="85" spans="1:14" x14ac:dyDescent="0.2">
      <c r="A85" s="2">
        <v>75</v>
      </c>
      <c r="B85" s="458" t="s">
        <v>163</v>
      </c>
      <c r="C85" s="462" t="s">
        <v>164</v>
      </c>
      <c r="D85" s="848">
        <f t="shared" si="5"/>
        <v>50643</v>
      </c>
      <c r="E85" s="851">
        <v>0</v>
      </c>
      <c r="F85" s="851">
        <v>0</v>
      </c>
      <c r="G85" s="851">
        <v>23723</v>
      </c>
      <c r="H85" s="851">
        <v>20054</v>
      </c>
      <c r="I85" s="851">
        <v>3075</v>
      </c>
      <c r="J85" s="851">
        <v>1317</v>
      </c>
      <c r="K85" s="848">
        <f t="shared" si="6"/>
        <v>2474</v>
      </c>
      <c r="L85" s="851">
        <v>0</v>
      </c>
      <c r="M85" s="851">
        <v>2474</v>
      </c>
      <c r="N85" s="851">
        <v>0</v>
      </c>
    </row>
    <row r="86" spans="1:14" x14ac:dyDescent="0.2">
      <c r="A86" s="443">
        <v>76</v>
      </c>
      <c r="B86" s="461" t="s">
        <v>165</v>
      </c>
      <c r="C86" s="462" t="s">
        <v>166</v>
      </c>
      <c r="D86" s="848">
        <f t="shared" si="5"/>
        <v>27786</v>
      </c>
      <c r="E86" s="851">
        <v>0</v>
      </c>
      <c r="F86" s="851">
        <v>0</v>
      </c>
      <c r="G86" s="851">
        <v>11117</v>
      </c>
      <c r="H86" s="851">
        <v>15205</v>
      </c>
      <c r="I86" s="851">
        <v>1025</v>
      </c>
      <c r="J86" s="851">
        <v>439</v>
      </c>
      <c r="K86" s="848">
        <f t="shared" si="6"/>
        <v>0</v>
      </c>
      <c r="L86" s="851">
        <v>0</v>
      </c>
      <c r="M86" s="851">
        <v>0</v>
      </c>
      <c r="N86" s="851">
        <v>0</v>
      </c>
    </row>
    <row r="87" spans="1:14" x14ac:dyDescent="0.2">
      <c r="A87" s="2">
        <v>77</v>
      </c>
      <c r="B87" s="463" t="s">
        <v>167</v>
      </c>
      <c r="C87" s="69" t="s">
        <v>168</v>
      </c>
      <c r="D87" s="848">
        <f t="shared" si="5"/>
        <v>10614</v>
      </c>
      <c r="E87" s="851">
        <v>0</v>
      </c>
      <c r="F87" s="851">
        <v>0</v>
      </c>
      <c r="G87" s="851">
        <v>1604</v>
      </c>
      <c r="H87" s="851">
        <v>9010</v>
      </c>
      <c r="I87" s="851">
        <v>0</v>
      </c>
      <c r="J87" s="851">
        <v>0</v>
      </c>
      <c r="K87" s="848">
        <f t="shared" si="6"/>
        <v>0</v>
      </c>
      <c r="L87" s="851">
        <v>0</v>
      </c>
      <c r="M87" s="851">
        <v>0</v>
      </c>
      <c r="N87" s="851">
        <v>0</v>
      </c>
    </row>
    <row r="88" spans="1:14" x14ac:dyDescent="0.2">
      <c r="A88" s="443">
        <v>78</v>
      </c>
      <c r="B88" s="458" t="s">
        <v>169</v>
      </c>
      <c r="C88" s="462" t="s">
        <v>170</v>
      </c>
      <c r="D88" s="848">
        <f t="shared" si="5"/>
        <v>74756</v>
      </c>
      <c r="E88" s="851">
        <v>0</v>
      </c>
      <c r="F88" s="851">
        <v>0</v>
      </c>
      <c r="G88" s="851">
        <v>31215</v>
      </c>
      <c r="H88" s="851">
        <v>18544</v>
      </c>
      <c r="I88" s="851">
        <v>2050</v>
      </c>
      <c r="J88" s="851">
        <v>878</v>
      </c>
      <c r="K88" s="848">
        <f t="shared" si="6"/>
        <v>22069</v>
      </c>
      <c r="L88" s="851">
        <v>12338</v>
      </c>
      <c r="M88" s="851">
        <v>9731</v>
      </c>
      <c r="N88" s="851">
        <v>0</v>
      </c>
    </row>
    <row r="89" spans="1:14" x14ac:dyDescent="0.2">
      <c r="A89" s="2">
        <v>79</v>
      </c>
      <c r="B89" s="463" t="s">
        <v>171</v>
      </c>
      <c r="C89" s="69" t="s">
        <v>172</v>
      </c>
      <c r="D89" s="848">
        <f t="shared" si="5"/>
        <v>60400</v>
      </c>
      <c r="E89" s="851">
        <v>0</v>
      </c>
      <c r="F89" s="851">
        <v>0</v>
      </c>
      <c r="G89" s="851">
        <v>3970</v>
      </c>
      <c r="H89" s="851">
        <v>56430</v>
      </c>
      <c r="I89" s="851">
        <v>0</v>
      </c>
      <c r="J89" s="851">
        <v>0</v>
      </c>
      <c r="K89" s="848">
        <f t="shared" si="6"/>
        <v>0</v>
      </c>
      <c r="L89" s="851">
        <v>0</v>
      </c>
      <c r="M89" s="851">
        <v>0</v>
      </c>
      <c r="N89" s="851">
        <v>0</v>
      </c>
    </row>
    <row r="90" spans="1:14" x14ac:dyDescent="0.2">
      <c r="A90" s="443">
        <v>80</v>
      </c>
      <c r="B90" s="458" t="s">
        <v>173</v>
      </c>
      <c r="C90" s="462" t="s">
        <v>174</v>
      </c>
      <c r="D90" s="848">
        <f t="shared" si="5"/>
        <v>27194</v>
      </c>
      <c r="E90" s="851">
        <v>0</v>
      </c>
      <c r="F90" s="851">
        <v>0</v>
      </c>
      <c r="G90" s="851">
        <v>15287</v>
      </c>
      <c r="H90" s="851">
        <v>8907</v>
      </c>
      <c r="I90" s="851">
        <v>0</v>
      </c>
      <c r="J90" s="851">
        <v>0</v>
      </c>
      <c r="K90" s="848">
        <f t="shared" si="6"/>
        <v>3000</v>
      </c>
      <c r="L90" s="851">
        <v>0</v>
      </c>
      <c r="M90" s="851">
        <v>3000</v>
      </c>
      <c r="N90" s="851">
        <v>0</v>
      </c>
    </row>
    <row r="91" spans="1:14" x14ac:dyDescent="0.2">
      <c r="A91" s="2">
        <v>81</v>
      </c>
      <c r="B91" s="463" t="s">
        <v>175</v>
      </c>
      <c r="C91" s="69" t="s">
        <v>754</v>
      </c>
      <c r="D91" s="848">
        <f t="shared" si="5"/>
        <v>14229</v>
      </c>
      <c r="E91" s="851">
        <v>14229</v>
      </c>
      <c r="F91" s="851">
        <v>0</v>
      </c>
      <c r="G91" s="851">
        <v>0</v>
      </c>
      <c r="H91" s="851">
        <v>0</v>
      </c>
      <c r="I91" s="851">
        <v>0</v>
      </c>
      <c r="J91" s="851">
        <v>0</v>
      </c>
      <c r="K91" s="848">
        <f t="shared" si="6"/>
        <v>0</v>
      </c>
      <c r="L91" s="851">
        <v>0</v>
      </c>
      <c r="M91" s="851">
        <v>0</v>
      </c>
      <c r="N91" s="851">
        <v>0</v>
      </c>
    </row>
    <row r="92" spans="1:14" x14ac:dyDescent="0.2">
      <c r="A92" s="443">
        <v>82</v>
      </c>
      <c r="B92" s="460" t="s">
        <v>177</v>
      </c>
      <c r="C92" s="462" t="s">
        <v>358</v>
      </c>
      <c r="D92" s="848">
        <f t="shared" si="5"/>
        <v>0</v>
      </c>
      <c r="E92" s="851">
        <v>0</v>
      </c>
      <c r="F92" s="851">
        <v>0</v>
      </c>
      <c r="G92" s="851">
        <v>0</v>
      </c>
      <c r="H92" s="851">
        <v>0</v>
      </c>
      <c r="I92" s="851">
        <v>0</v>
      </c>
      <c r="J92" s="851">
        <v>0</v>
      </c>
      <c r="K92" s="848">
        <f t="shared" si="6"/>
        <v>0</v>
      </c>
      <c r="L92" s="851">
        <v>0</v>
      </c>
      <c r="M92" s="851">
        <v>0</v>
      </c>
      <c r="N92" s="851">
        <v>0</v>
      </c>
    </row>
    <row r="93" spans="1:14" ht="36" x14ac:dyDescent="0.2">
      <c r="A93" s="988">
        <v>83</v>
      </c>
      <c r="B93" s="1014" t="s">
        <v>178</v>
      </c>
      <c r="C93" s="1" t="s">
        <v>752</v>
      </c>
      <c r="D93" s="848">
        <f t="shared" si="5"/>
        <v>11376</v>
      </c>
      <c r="E93" s="851">
        <v>0</v>
      </c>
      <c r="F93" s="851">
        <v>0</v>
      </c>
      <c r="G93" s="851">
        <v>1265</v>
      </c>
      <c r="H93" s="851">
        <v>3575</v>
      </c>
      <c r="I93" s="851">
        <v>0</v>
      </c>
      <c r="J93" s="851">
        <v>0</v>
      </c>
      <c r="K93" s="848">
        <f t="shared" si="6"/>
        <v>6536</v>
      </c>
      <c r="L93" s="851">
        <v>0</v>
      </c>
      <c r="M93" s="851">
        <v>6536</v>
      </c>
      <c r="N93" s="851">
        <v>0</v>
      </c>
    </row>
    <row r="94" spans="1:14" ht="24" x14ac:dyDescent="0.2">
      <c r="A94" s="989"/>
      <c r="B94" s="1015"/>
      <c r="C94" s="462" t="s">
        <v>180</v>
      </c>
      <c r="D94" s="848">
        <f t="shared" si="5"/>
        <v>3600</v>
      </c>
      <c r="E94" s="851">
        <v>3600</v>
      </c>
      <c r="F94" s="851">
        <v>0</v>
      </c>
      <c r="G94" s="851">
        <v>0</v>
      </c>
      <c r="H94" s="851">
        <v>0</v>
      </c>
      <c r="I94" s="851">
        <v>0</v>
      </c>
      <c r="J94" s="851">
        <v>0</v>
      </c>
      <c r="K94" s="848">
        <f t="shared" si="6"/>
        <v>0</v>
      </c>
      <c r="L94" s="851">
        <v>0</v>
      </c>
      <c r="M94" s="851">
        <v>0</v>
      </c>
      <c r="N94" s="851">
        <v>0</v>
      </c>
    </row>
    <row r="95" spans="1:14" ht="36" x14ac:dyDescent="0.2">
      <c r="A95" s="990"/>
      <c r="B95" s="1016"/>
      <c r="C95" s="384" t="s">
        <v>510</v>
      </c>
      <c r="D95" s="848">
        <f t="shared" si="5"/>
        <v>8000</v>
      </c>
      <c r="E95" s="851">
        <v>0</v>
      </c>
      <c r="F95" s="851">
        <v>0</v>
      </c>
      <c r="G95" s="851">
        <v>0</v>
      </c>
      <c r="H95" s="851">
        <v>0</v>
      </c>
      <c r="I95" s="851">
        <v>0</v>
      </c>
      <c r="J95" s="851">
        <v>0</v>
      </c>
      <c r="K95" s="848">
        <f t="shared" si="6"/>
        <v>8000</v>
      </c>
      <c r="L95" s="851">
        <v>0</v>
      </c>
      <c r="M95" s="851">
        <v>8000</v>
      </c>
      <c r="N95" s="851"/>
    </row>
    <row r="96" spans="1:14" ht="24" x14ac:dyDescent="0.2">
      <c r="A96" s="443">
        <v>84</v>
      </c>
      <c r="B96" s="460" t="s">
        <v>181</v>
      </c>
      <c r="C96" s="459" t="s">
        <v>182</v>
      </c>
      <c r="D96" s="848">
        <f t="shared" si="5"/>
        <v>8400</v>
      </c>
      <c r="E96" s="851">
        <v>8400</v>
      </c>
      <c r="F96" s="851">
        <v>0</v>
      </c>
      <c r="G96" s="851">
        <v>0</v>
      </c>
      <c r="H96" s="851">
        <v>0</v>
      </c>
      <c r="I96" s="851">
        <v>0</v>
      </c>
      <c r="J96" s="851">
        <v>0</v>
      </c>
      <c r="K96" s="848">
        <f t="shared" si="6"/>
        <v>0</v>
      </c>
      <c r="L96" s="851">
        <v>0</v>
      </c>
      <c r="M96" s="851">
        <v>0</v>
      </c>
      <c r="N96" s="851">
        <v>0</v>
      </c>
    </row>
    <row r="97" spans="1:14" x14ac:dyDescent="0.2">
      <c r="A97" s="443">
        <v>85</v>
      </c>
      <c r="B97" s="460" t="s">
        <v>183</v>
      </c>
      <c r="C97" s="69" t="s">
        <v>184</v>
      </c>
      <c r="D97" s="848">
        <f t="shared" si="5"/>
        <v>5613</v>
      </c>
      <c r="E97" s="851">
        <v>0</v>
      </c>
      <c r="F97" s="851">
        <v>0</v>
      </c>
      <c r="G97" s="851">
        <v>1650</v>
      </c>
      <c r="H97" s="851">
        <v>3963</v>
      </c>
      <c r="I97" s="851">
        <v>0</v>
      </c>
      <c r="J97" s="851">
        <v>0</v>
      </c>
      <c r="K97" s="848">
        <f t="shared" si="6"/>
        <v>0</v>
      </c>
      <c r="L97" s="851">
        <v>0</v>
      </c>
      <c r="M97" s="851">
        <v>0</v>
      </c>
      <c r="N97" s="851">
        <v>0</v>
      </c>
    </row>
    <row r="98" spans="1:14" x14ac:dyDescent="0.2">
      <c r="A98" s="443">
        <v>86</v>
      </c>
      <c r="B98" s="461" t="s">
        <v>185</v>
      </c>
      <c r="C98" s="462" t="s">
        <v>186</v>
      </c>
      <c r="D98" s="848">
        <f t="shared" si="5"/>
        <v>12505</v>
      </c>
      <c r="E98" s="851">
        <v>0</v>
      </c>
      <c r="F98" s="851">
        <v>0</v>
      </c>
      <c r="G98" s="851">
        <v>3355</v>
      </c>
      <c r="H98" s="851">
        <v>7685</v>
      </c>
      <c r="I98" s="851">
        <v>1026</v>
      </c>
      <c r="J98" s="851">
        <v>439</v>
      </c>
      <c r="K98" s="848">
        <f t="shared" si="6"/>
        <v>0</v>
      </c>
      <c r="L98" s="851">
        <v>0</v>
      </c>
      <c r="M98" s="851">
        <v>0</v>
      </c>
      <c r="N98" s="851">
        <v>0</v>
      </c>
    </row>
    <row r="99" spans="1:14" x14ac:dyDescent="0.2">
      <c r="A99" s="443">
        <v>87</v>
      </c>
      <c r="B99" s="460" t="s">
        <v>187</v>
      </c>
      <c r="C99" s="459" t="s">
        <v>188</v>
      </c>
      <c r="D99" s="848">
        <f t="shared" si="5"/>
        <v>13563</v>
      </c>
      <c r="E99" s="851">
        <v>0</v>
      </c>
      <c r="F99" s="851">
        <v>0</v>
      </c>
      <c r="G99" s="851">
        <v>2740</v>
      </c>
      <c r="H99" s="851">
        <v>10823</v>
      </c>
      <c r="I99" s="851">
        <v>0</v>
      </c>
      <c r="J99" s="851">
        <v>0</v>
      </c>
      <c r="K99" s="848">
        <f t="shared" si="6"/>
        <v>0</v>
      </c>
      <c r="L99" s="851">
        <v>0</v>
      </c>
      <c r="M99" s="851">
        <v>0</v>
      </c>
      <c r="N99" s="851">
        <v>0</v>
      </c>
    </row>
    <row r="100" spans="1:14" x14ac:dyDescent="0.2">
      <c r="A100" s="443">
        <v>88</v>
      </c>
      <c r="B100" s="461" t="s">
        <v>189</v>
      </c>
      <c r="C100" s="462" t="s">
        <v>190</v>
      </c>
      <c r="D100" s="848">
        <f t="shared" si="5"/>
        <v>11683</v>
      </c>
      <c r="E100" s="851">
        <v>0</v>
      </c>
      <c r="F100" s="851">
        <v>0</v>
      </c>
      <c r="G100" s="851">
        <v>1519</v>
      </c>
      <c r="H100" s="851">
        <v>10164</v>
      </c>
      <c r="I100" s="851">
        <v>0</v>
      </c>
      <c r="J100" s="851">
        <v>0</v>
      </c>
      <c r="K100" s="848">
        <f t="shared" si="6"/>
        <v>0</v>
      </c>
      <c r="L100" s="851">
        <v>0</v>
      </c>
      <c r="M100" s="851">
        <v>0</v>
      </c>
      <c r="N100" s="851">
        <v>0</v>
      </c>
    </row>
    <row r="101" spans="1:14" x14ac:dyDescent="0.2">
      <c r="A101" s="443">
        <v>89</v>
      </c>
      <c r="B101" s="461" t="s">
        <v>191</v>
      </c>
      <c r="C101" s="462" t="s">
        <v>192</v>
      </c>
      <c r="D101" s="848">
        <f t="shared" si="5"/>
        <v>32007</v>
      </c>
      <c r="E101" s="851">
        <v>0</v>
      </c>
      <c r="F101" s="851">
        <v>0</v>
      </c>
      <c r="G101" s="851">
        <v>11680</v>
      </c>
      <c r="H101" s="851">
        <v>20327</v>
      </c>
      <c r="I101" s="851">
        <v>0</v>
      </c>
      <c r="J101" s="851">
        <v>0</v>
      </c>
      <c r="K101" s="848">
        <f t="shared" si="6"/>
        <v>0</v>
      </c>
      <c r="L101" s="851">
        <v>0</v>
      </c>
      <c r="M101" s="851">
        <v>0</v>
      </c>
      <c r="N101" s="851">
        <v>0</v>
      </c>
    </row>
    <row r="102" spans="1:14" x14ac:dyDescent="0.2">
      <c r="A102" s="443">
        <v>90</v>
      </c>
      <c r="B102" s="460" t="s">
        <v>193</v>
      </c>
      <c r="C102" s="69" t="s">
        <v>194</v>
      </c>
      <c r="D102" s="848">
        <f t="shared" si="5"/>
        <v>10804</v>
      </c>
      <c r="E102" s="851">
        <v>0</v>
      </c>
      <c r="F102" s="851">
        <v>0</v>
      </c>
      <c r="G102" s="851">
        <v>2361</v>
      </c>
      <c r="H102" s="851">
        <v>6979</v>
      </c>
      <c r="I102" s="851">
        <v>1025</v>
      </c>
      <c r="J102" s="851">
        <v>439</v>
      </c>
      <c r="K102" s="848">
        <f t="shared" si="6"/>
        <v>0</v>
      </c>
      <c r="L102" s="851">
        <v>0</v>
      </c>
      <c r="M102" s="851">
        <v>0</v>
      </c>
      <c r="N102" s="851">
        <v>0</v>
      </c>
    </row>
    <row r="103" spans="1:14" x14ac:dyDescent="0.2">
      <c r="A103" s="443">
        <v>91</v>
      </c>
      <c r="B103" s="460" t="s">
        <v>195</v>
      </c>
      <c r="C103" s="459" t="s">
        <v>196</v>
      </c>
      <c r="D103" s="848">
        <f t="shared" si="5"/>
        <v>18589</v>
      </c>
      <c r="E103" s="851">
        <v>0</v>
      </c>
      <c r="F103" s="851">
        <v>0</v>
      </c>
      <c r="G103" s="851">
        <v>5156</v>
      </c>
      <c r="H103" s="851">
        <v>11969</v>
      </c>
      <c r="I103" s="851">
        <v>1025</v>
      </c>
      <c r="J103" s="851">
        <v>439</v>
      </c>
      <c r="K103" s="848">
        <f t="shared" si="6"/>
        <v>0</v>
      </c>
      <c r="L103" s="851">
        <v>0</v>
      </c>
      <c r="M103" s="851">
        <v>0</v>
      </c>
      <c r="N103" s="851">
        <v>0</v>
      </c>
    </row>
    <row r="104" spans="1:14" x14ac:dyDescent="0.2">
      <c r="A104" s="443">
        <v>92</v>
      </c>
      <c r="B104" s="458" t="s">
        <v>197</v>
      </c>
      <c r="C104" s="459" t="s">
        <v>198</v>
      </c>
      <c r="D104" s="848">
        <f t="shared" si="5"/>
        <v>43148</v>
      </c>
      <c r="E104" s="851">
        <v>0</v>
      </c>
      <c r="F104" s="851">
        <v>0</v>
      </c>
      <c r="G104" s="851">
        <v>2118</v>
      </c>
      <c r="H104" s="851">
        <v>40997</v>
      </c>
      <c r="I104" s="851">
        <v>0</v>
      </c>
      <c r="J104" s="851">
        <v>0</v>
      </c>
      <c r="K104" s="848">
        <f t="shared" si="6"/>
        <v>33</v>
      </c>
      <c r="L104" s="851">
        <v>0</v>
      </c>
      <c r="M104" s="851">
        <v>33</v>
      </c>
      <c r="N104" s="851">
        <v>0</v>
      </c>
    </row>
    <row r="105" spans="1:14" x14ac:dyDescent="0.2">
      <c r="A105" s="443">
        <v>93</v>
      </c>
      <c r="B105" s="458" t="s">
        <v>199</v>
      </c>
      <c r="C105" s="459" t="s">
        <v>200</v>
      </c>
      <c r="D105" s="848">
        <f t="shared" si="5"/>
        <v>33170</v>
      </c>
      <c r="E105" s="851">
        <v>0</v>
      </c>
      <c r="F105" s="851">
        <v>0</v>
      </c>
      <c r="G105" s="851">
        <v>9596</v>
      </c>
      <c r="H105" s="851">
        <v>23546</v>
      </c>
      <c r="I105" s="851">
        <v>0</v>
      </c>
      <c r="J105" s="851">
        <v>0</v>
      </c>
      <c r="K105" s="848">
        <f t="shared" si="6"/>
        <v>28</v>
      </c>
      <c r="L105" s="851">
        <v>0</v>
      </c>
      <c r="M105" s="851">
        <v>28</v>
      </c>
      <c r="N105" s="851">
        <v>0</v>
      </c>
    </row>
    <row r="106" spans="1:14" x14ac:dyDescent="0.2">
      <c r="A106" s="443">
        <v>94</v>
      </c>
      <c r="B106" s="461" t="s">
        <v>201</v>
      </c>
      <c r="C106" s="462" t="s">
        <v>202</v>
      </c>
      <c r="D106" s="848">
        <f t="shared" si="5"/>
        <v>9725</v>
      </c>
      <c r="E106" s="851">
        <v>0</v>
      </c>
      <c r="F106" s="851">
        <v>0</v>
      </c>
      <c r="G106" s="851">
        <v>1074</v>
      </c>
      <c r="H106" s="851">
        <v>8651</v>
      </c>
      <c r="I106" s="851">
        <v>0</v>
      </c>
      <c r="J106" s="851">
        <v>0</v>
      </c>
      <c r="K106" s="848">
        <f t="shared" si="6"/>
        <v>0</v>
      </c>
      <c r="L106" s="851">
        <v>0</v>
      </c>
      <c r="M106" s="851">
        <v>0</v>
      </c>
      <c r="N106" s="851">
        <v>0</v>
      </c>
    </row>
    <row r="107" spans="1:14" x14ac:dyDescent="0.2">
      <c r="A107" s="443">
        <v>95</v>
      </c>
      <c r="B107" s="463" t="s">
        <v>203</v>
      </c>
      <c r="C107" s="69" t="s">
        <v>204</v>
      </c>
      <c r="D107" s="848">
        <f t="shared" si="5"/>
        <v>9512</v>
      </c>
      <c r="E107" s="851">
        <v>0</v>
      </c>
      <c r="F107" s="851">
        <v>0</v>
      </c>
      <c r="G107" s="851">
        <v>4197</v>
      </c>
      <c r="H107" s="851">
        <v>5315</v>
      </c>
      <c r="I107" s="851">
        <v>0</v>
      </c>
      <c r="J107" s="851">
        <v>0</v>
      </c>
      <c r="K107" s="848">
        <f t="shared" si="6"/>
        <v>0</v>
      </c>
      <c r="L107" s="851">
        <v>0</v>
      </c>
      <c r="M107" s="851">
        <v>0</v>
      </c>
      <c r="N107" s="851">
        <v>0</v>
      </c>
    </row>
    <row r="108" spans="1:14" x14ac:dyDescent="0.2">
      <c r="A108" s="443">
        <v>96</v>
      </c>
      <c r="B108" s="458" t="s">
        <v>205</v>
      </c>
      <c r="C108" s="459" t="s">
        <v>206</v>
      </c>
      <c r="D108" s="848">
        <f t="shared" si="5"/>
        <v>14928</v>
      </c>
      <c r="E108" s="851">
        <v>0</v>
      </c>
      <c r="F108" s="851">
        <v>0</v>
      </c>
      <c r="G108" s="851">
        <v>6005</v>
      </c>
      <c r="H108" s="851">
        <v>8923</v>
      </c>
      <c r="I108" s="851">
        <v>0</v>
      </c>
      <c r="J108" s="851">
        <v>0</v>
      </c>
      <c r="K108" s="848">
        <f t="shared" si="6"/>
        <v>0</v>
      </c>
      <c r="L108" s="851">
        <v>0</v>
      </c>
      <c r="M108" s="851">
        <v>0</v>
      </c>
      <c r="N108" s="851">
        <v>0</v>
      </c>
    </row>
    <row r="109" spans="1:14" x14ac:dyDescent="0.2">
      <c r="A109" s="443">
        <v>97</v>
      </c>
      <c r="B109" s="460" t="s">
        <v>207</v>
      </c>
      <c r="C109" s="459" t="s">
        <v>208</v>
      </c>
      <c r="D109" s="848">
        <f t="shared" si="5"/>
        <v>12992</v>
      </c>
      <c r="E109" s="851">
        <v>0</v>
      </c>
      <c r="F109" s="851">
        <v>0</v>
      </c>
      <c r="G109" s="851">
        <v>4735</v>
      </c>
      <c r="H109" s="851">
        <v>6285</v>
      </c>
      <c r="I109" s="851">
        <v>1025</v>
      </c>
      <c r="J109" s="851">
        <v>439</v>
      </c>
      <c r="K109" s="848">
        <f t="shared" si="6"/>
        <v>508</v>
      </c>
      <c r="L109" s="851">
        <v>0</v>
      </c>
      <c r="M109" s="851">
        <v>508</v>
      </c>
      <c r="N109" s="851">
        <v>0</v>
      </c>
    </row>
    <row r="110" spans="1:14" x14ac:dyDescent="0.2">
      <c r="A110" s="443">
        <v>98</v>
      </c>
      <c r="B110" s="461" t="s">
        <v>209</v>
      </c>
      <c r="C110" s="462" t="s">
        <v>210</v>
      </c>
      <c r="D110" s="848">
        <f t="shared" si="5"/>
        <v>11495</v>
      </c>
      <c r="E110" s="851">
        <v>0</v>
      </c>
      <c r="F110" s="851">
        <v>0</v>
      </c>
      <c r="G110" s="851">
        <v>5558</v>
      </c>
      <c r="H110" s="851">
        <v>5937</v>
      </c>
      <c r="I110" s="851">
        <v>0</v>
      </c>
      <c r="J110" s="851">
        <v>0</v>
      </c>
      <c r="K110" s="848">
        <f t="shared" si="6"/>
        <v>0</v>
      </c>
      <c r="L110" s="851">
        <v>0</v>
      </c>
      <c r="M110" s="851">
        <v>0</v>
      </c>
      <c r="N110" s="851">
        <v>0</v>
      </c>
    </row>
    <row r="111" spans="1:14" x14ac:dyDescent="0.2">
      <c r="A111" s="443">
        <v>99</v>
      </c>
      <c r="B111" s="461" t="s">
        <v>211</v>
      </c>
      <c r="C111" s="462" t="s">
        <v>212</v>
      </c>
      <c r="D111" s="848">
        <f t="shared" si="5"/>
        <v>15923</v>
      </c>
      <c r="E111" s="851">
        <v>0</v>
      </c>
      <c r="F111" s="851">
        <v>0</v>
      </c>
      <c r="G111" s="851">
        <v>3078</v>
      </c>
      <c r="H111" s="851">
        <v>12845</v>
      </c>
      <c r="I111" s="851">
        <v>0</v>
      </c>
      <c r="J111" s="851">
        <v>0</v>
      </c>
      <c r="K111" s="848">
        <f t="shared" si="6"/>
        <v>0</v>
      </c>
      <c r="L111" s="851">
        <v>0</v>
      </c>
      <c r="M111" s="851">
        <v>0</v>
      </c>
      <c r="N111" s="851">
        <v>0</v>
      </c>
    </row>
    <row r="112" spans="1:14" x14ac:dyDescent="0.2">
      <c r="A112" s="443">
        <v>100</v>
      </c>
      <c r="B112" s="458" t="s">
        <v>213</v>
      </c>
      <c r="C112" s="459" t="s">
        <v>214</v>
      </c>
      <c r="D112" s="848">
        <f t="shared" si="5"/>
        <v>29664</v>
      </c>
      <c r="E112" s="851">
        <v>0</v>
      </c>
      <c r="F112" s="851">
        <v>0</v>
      </c>
      <c r="G112" s="851">
        <v>7889</v>
      </c>
      <c r="H112" s="851">
        <v>21645</v>
      </c>
      <c r="I112" s="851">
        <v>0</v>
      </c>
      <c r="J112" s="851">
        <v>0</v>
      </c>
      <c r="K112" s="848">
        <f t="shared" si="6"/>
        <v>130</v>
      </c>
      <c r="L112" s="851">
        <v>0</v>
      </c>
      <c r="M112" s="851">
        <v>130</v>
      </c>
      <c r="N112" s="851">
        <v>0</v>
      </c>
    </row>
    <row r="113" spans="1:14" x14ac:dyDescent="0.2">
      <c r="A113" s="443">
        <v>101</v>
      </c>
      <c r="B113" s="460" t="s">
        <v>215</v>
      </c>
      <c r="C113" s="459" t="s">
        <v>216</v>
      </c>
      <c r="D113" s="848">
        <f t="shared" si="5"/>
        <v>16925</v>
      </c>
      <c r="E113" s="851">
        <v>0</v>
      </c>
      <c r="F113" s="851">
        <v>0</v>
      </c>
      <c r="G113" s="851">
        <v>1521</v>
      </c>
      <c r="H113" s="851">
        <v>15404</v>
      </c>
      <c r="I113" s="851">
        <v>0</v>
      </c>
      <c r="J113" s="851">
        <v>0</v>
      </c>
      <c r="K113" s="848">
        <f t="shared" si="6"/>
        <v>0</v>
      </c>
      <c r="L113" s="851">
        <v>0</v>
      </c>
      <c r="M113" s="851">
        <v>0</v>
      </c>
      <c r="N113" s="851">
        <v>0</v>
      </c>
    </row>
    <row r="114" spans="1:14" x14ac:dyDescent="0.2">
      <c r="A114" s="443">
        <v>102</v>
      </c>
      <c r="B114" s="458" t="s">
        <v>217</v>
      </c>
      <c r="C114" s="462" t="s">
        <v>218</v>
      </c>
      <c r="D114" s="848">
        <f t="shared" si="5"/>
        <v>7964</v>
      </c>
      <c r="E114" s="851">
        <v>7964</v>
      </c>
      <c r="F114" s="851">
        <v>0</v>
      </c>
      <c r="G114" s="851">
        <v>0</v>
      </c>
      <c r="H114" s="851">
        <v>0</v>
      </c>
      <c r="I114" s="851">
        <v>0</v>
      </c>
      <c r="J114" s="851">
        <v>0</v>
      </c>
      <c r="K114" s="848">
        <f t="shared" si="6"/>
        <v>0</v>
      </c>
      <c r="L114" s="851">
        <v>0</v>
      </c>
      <c r="M114" s="851">
        <v>0</v>
      </c>
      <c r="N114" s="851">
        <v>0</v>
      </c>
    </row>
    <row r="115" spans="1:14" x14ac:dyDescent="0.2">
      <c r="A115" s="443">
        <v>103</v>
      </c>
      <c r="B115" s="458" t="s">
        <v>219</v>
      </c>
      <c r="C115" s="459" t="s">
        <v>220</v>
      </c>
      <c r="D115" s="848">
        <f t="shared" si="5"/>
        <v>0</v>
      </c>
      <c r="E115" s="851">
        <v>0</v>
      </c>
      <c r="F115" s="851">
        <v>0</v>
      </c>
      <c r="G115" s="851">
        <v>0</v>
      </c>
      <c r="H115" s="851">
        <v>0</v>
      </c>
      <c r="I115" s="851">
        <v>0</v>
      </c>
      <c r="J115" s="851">
        <v>0</v>
      </c>
      <c r="K115" s="848">
        <f t="shared" si="6"/>
        <v>0</v>
      </c>
      <c r="L115" s="851">
        <v>0</v>
      </c>
      <c r="M115" s="851">
        <v>0</v>
      </c>
      <c r="N115" s="851">
        <v>0</v>
      </c>
    </row>
    <row r="116" spans="1:14" x14ac:dyDescent="0.2">
      <c r="A116" s="443">
        <v>104</v>
      </c>
      <c r="B116" s="461" t="s">
        <v>221</v>
      </c>
      <c r="C116" s="462" t="s">
        <v>222</v>
      </c>
      <c r="D116" s="848">
        <f t="shared" si="5"/>
        <v>1138</v>
      </c>
      <c r="E116" s="851">
        <v>1138</v>
      </c>
      <c r="F116" s="851">
        <v>0</v>
      </c>
      <c r="G116" s="851">
        <v>0</v>
      </c>
      <c r="H116" s="851">
        <v>0</v>
      </c>
      <c r="I116" s="851">
        <v>0</v>
      </c>
      <c r="J116" s="851">
        <v>0</v>
      </c>
      <c r="K116" s="848">
        <f t="shared" si="6"/>
        <v>0</v>
      </c>
      <c r="L116" s="851">
        <v>0</v>
      </c>
      <c r="M116" s="851">
        <v>0</v>
      </c>
      <c r="N116" s="851">
        <v>0</v>
      </c>
    </row>
    <row r="117" spans="1:14" x14ac:dyDescent="0.2">
      <c r="A117" s="443">
        <v>105</v>
      </c>
      <c r="B117" s="461" t="s">
        <v>223</v>
      </c>
      <c r="C117" s="462" t="s">
        <v>224</v>
      </c>
      <c r="D117" s="848">
        <f t="shared" si="5"/>
        <v>0</v>
      </c>
      <c r="E117" s="851">
        <v>0</v>
      </c>
      <c r="F117" s="851">
        <v>0</v>
      </c>
      <c r="G117" s="851">
        <v>0</v>
      </c>
      <c r="H117" s="851">
        <v>0</v>
      </c>
      <c r="I117" s="851">
        <v>0</v>
      </c>
      <c r="J117" s="851">
        <v>0</v>
      </c>
      <c r="K117" s="848">
        <f t="shared" si="6"/>
        <v>0</v>
      </c>
      <c r="L117" s="851">
        <v>0</v>
      </c>
      <c r="M117" s="851">
        <v>0</v>
      </c>
      <c r="N117" s="851">
        <v>0</v>
      </c>
    </row>
    <row r="118" spans="1:14" x14ac:dyDescent="0.2">
      <c r="A118" s="443">
        <v>106</v>
      </c>
      <c r="B118" s="461" t="s">
        <v>225</v>
      </c>
      <c r="C118" s="462" t="s">
        <v>226</v>
      </c>
      <c r="D118" s="848">
        <f t="shared" si="5"/>
        <v>0</v>
      </c>
      <c r="E118" s="851">
        <v>0</v>
      </c>
      <c r="F118" s="851">
        <v>0</v>
      </c>
      <c r="G118" s="851">
        <v>0</v>
      </c>
      <c r="H118" s="851">
        <v>0</v>
      </c>
      <c r="I118" s="851">
        <v>0</v>
      </c>
      <c r="J118" s="851">
        <v>0</v>
      </c>
      <c r="K118" s="848">
        <f t="shared" si="6"/>
        <v>0</v>
      </c>
      <c r="L118" s="851">
        <v>0</v>
      </c>
      <c r="M118" s="851">
        <v>0</v>
      </c>
      <c r="N118" s="851">
        <v>0</v>
      </c>
    </row>
    <row r="119" spans="1:14" x14ac:dyDescent="0.2">
      <c r="A119" s="443">
        <v>107</v>
      </c>
      <c r="B119" s="461" t="s">
        <v>227</v>
      </c>
      <c r="C119" s="462" t="s">
        <v>228</v>
      </c>
      <c r="D119" s="848">
        <f t="shared" si="5"/>
        <v>0</v>
      </c>
      <c r="E119" s="851">
        <v>0</v>
      </c>
      <c r="F119" s="851">
        <v>0</v>
      </c>
      <c r="G119" s="851">
        <v>0</v>
      </c>
      <c r="H119" s="851">
        <v>0</v>
      </c>
      <c r="I119" s="851">
        <v>0</v>
      </c>
      <c r="J119" s="851">
        <v>0</v>
      </c>
      <c r="K119" s="848">
        <f t="shared" si="6"/>
        <v>0</v>
      </c>
      <c r="L119" s="851">
        <v>0</v>
      </c>
      <c r="M119" s="851">
        <v>0</v>
      </c>
      <c r="N119" s="851">
        <v>0</v>
      </c>
    </row>
    <row r="120" spans="1:14" x14ac:dyDescent="0.2">
      <c r="A120" s="443">
        <v>108</v>
      </c>
      <c r="B120" s="461" t="s">
        <v>229</v>
      </c>
      <c r="C120" s="462" t="s">
        <v>230</v>
      </c>
      <c r="D120" s="848">
        <f t="shared" si="5"/>
        <v>0</v>
      </c>
      <c r="E120" s="851">
        <v>0</v>
      </c>
      <c r="F120" s="851">
        <v>0</v>
      </c>
      <c r="G120" s="851">
        <v>0</v>
      </c>
      <c r="H120" s="851">
        <v>0</v>
      </c>
      <c r="I120" s="851">
        <v>0</v>
      </c>
      <c r="J120" s="851">
        <v>0</v>
      </c>
      <c r="K120" s="848">
        <f t="shared" si="6"/>
        <v>0</v>
      </c>
      <c r="L120" s="851">
        <v>0</v>
      </c>
      <c r="M120" s="851">
        <v>0</v>
      </c>
      <c r="N120" s="851">
        <v>0</v>
      </c>
    </row>
    <row r="121" spans="1:14" x14ac:dyDescent="0.2">
      <c r="A121" s="443">
        <v>109</v>
      </c>
      <c r="B121" s="461" t="s">
        <v>231</v>
      </c>
      <c r="C121" s="462" t="s">
        <v>232</v>
      </c>
      <c r="D121" s="848">
        <f t="shared" si="5"/>
        <v>29246</v>
      </c>
      <c r="E121" s="851">
        <v>29246</v>
      </c>
      <c r="F121" s="851">
        <v>0</v>
      </c>
      <c r="G121" s="851">
        <v>0</v>
      </c>
      <c r="H121" s="851">
        <v>0</v>
      </c>
      <c r="I121" s="851">
        <v>0</v>
      </c>
      <c r="J121" s="851">
        <v>0</v>
      </c>
      <c r="K121" s="848">
        <f t="shared" si="6"/>
        <v>0</v>
      </c>
      <c r="L121" s="851">
        <v>0</v>
      </c>
      <c r="M121" s="851">
        <v>0</v>
      </c>
      <c r="N121" s="851">
        <v>0</v>
      </c>
    </row>
    <row r="122" spans="1:14" x14ac:dyDescent="0.2">
      <c r="A122" s="443">
        <v>110</v>
      </c>
      <c r="B122" s="451" t="s">
        <v>233</v>
      </c>
      <c r="C122" s="452" t="s">
        <v>234</v>
      </c>
      <c r="D122" s="848">
        <f t="shared" si="5"/>
        <v>0</v>
      </c>
      <c r="E122" s="851">
        <v>0</v>
      </c>
      <c r="F122" s="851">
        <v>0</v>
      </c>
      <c r="G122" s="851">
        <v>0</v>
      </c>
      <c r="H122" s="851">
        <v>0</v>
      </c>
      <c r="I122" s="851">
        <v>0</v>
      </c>
      <c r="J122" s="851">
        <v>0</v>
      </c>
      <c r="K122" s="848">
        <f t="shared" si="6"/>
        <v>0</v>
      </c>
      <c r="L122" s="851">
        <v>0</v>
      </c>
      <c r="M122" s="851">
        <v>0</v>
      </c>
      <c r="N122" s="851">
        <v>0</v>
      </c>
    </row>
    <row r="123" spans="1:14" x14ac:dyDescent="0.2">
      <c r="A123" s="443">
        <v>111</v>
      </c>
      <c r="B123" s="451" t="s">
        <v>235</v>
      </c>
      <c r="C123" s="452" t="s">
        <v>236</v>
      </c>
      <c r="D123" s="848">
        <f t="shared" si="5"/>
        <v>130</v>
      </c>
      <c r="E123" s="851">
        <v>130</v>
      </c>
      <c r="F123" s="851">
        <v>130</v>
      </c>
      <c r="G123" s="851">
        <v>0</v>
      </c>
      <c r="H123" s="851">
        <v>0</v>
      </c>
      <c r="I123" s="851">
        <v>0</v>
      </c>
      <c r="J123" s="851">
        <v>0</v>
      </c>
      <c r="K123" s="848">
        <f t="shared" si="6"/>
        <v>0</v>
      </c>
      <c r="L123" s="851">
        <v>0</v>
      </c>
      <c r="M123" s="851">
        <v>0</v>
      </c>
      <c r="N123" s="851">
        <v>0</v>
      </c>
    </row>
    <row r="124" spans="1:14" x14ac:dyDescent="0.2">
      <c r="A124" s="443">
        <v>112</v>
      </c>
      <c r="B124" s="460" t="s">
        <v>237</v>
      </c>
      <c r="C124" s="459" t="s">
        <v>238</v>
      </c>
      <c r="D124" s="848">
        <f t="shared" si="5"/>
        <v>0</v>
      </c>
      <c r="E124" s="851">
        <v>0</v>
      </c>
      <c r="F124" s="851">
        <v>0</v>
      </c>
      <c r="G124" s="851">
        <v>0</v>
      </c>
      <c r="H124" s="851">
        <v>0</v>
      </c>
      <c r="I124" s="851">
        <v>0</v>
      </c>
      <c r="J124" s="851">
        <v>0</v>
      </c>
      <c r="K124" s="848">
        <f t="shared" si="6"/>
        <v>0</v>
      </c>
      <c r="L124" s="851">
        <v>0</v>
      </c>
      <c r="M124" s="851">
        <v>0</v>
      </c>
      <c r="N124" s="851">
        <v>0</v>
      </c>
    </row>
    <row r="125" spans="1:14" x14ac:dyDescent="0.2">
      <c r="A125" s="443">
        <v>113</v>
      </c>
      <c r="B125" s="461" t="s">
        <v>239</v>
      </c>
      <c r="C125" s="462" t="s">
        <v>240</v>
      </c>
      <c r="D125" s="848">
        <f t="shared" si="5"/>
        <v>0</v>
      </c>
      <c r="E125" s="851">
        <v>0</v>
      </c>
      <c r="F125" s="851">
        <v>0</v>
      </c>
      <c r="G125" s="851">
        <v>0</v>
      </c>
      <c r="H125" s="851">
        <v>0</v>
      </c>
      <c r="I125" s="851">
        <v>0</v>
      </c>
      <c r="J125" s="851">
        <v>0</v>
      </c>
      <c r="K125" s="848">
        <f t="shared" si="6"/>
        <v>0</v>
      </c>
      <c r="L125" s="851">
        <v>0</v>
      </c>
      <c r="M125" s="851">
        <v>0</v>
      </c>
      <c r="N125" s="851">
        <v>0</v>
      </c>
    </row>
    <row r="126" spans="1:14" x14ac:dyDescent="0.2">
      <c r="A126" s="443">
        <v>114</v>
      </c>
      <c r="B126" s="458" t="s">
        <v>241</v>
      </c>
      <c r="C126" s="465" t="s">
        <v>242</v>
      </c>
      <c r="D126" s="848">
        <f t="shared" si="5"/>
        <v>0</v>
      </c>
      <c r="E126" s="851">
        <v>0</v>
      </c>
      <c r="F126" s="851">
        <v>0</v>
      </c>
      <c r="G126" s="851">
        <v>0</v>
      </c>
      <c r="H126" s="851">
        <v>0</v>
      </c>
      <c r="I126" s="851">
        <v>0</v>
      </c>
      <c r="J126" s="851">
        <v>0</v>
      </c>
      <c r="K126" s="848">
        <f t="shared" si="6"/>
        <v>0</v>
      </c>
      <c r="L126" s="851">
        <v>0</v>
      </c>
      <c r="M126" s="851">
        <v>0</v>
      </c>
      <c r="N126" s="851">
        <v>0</v>
      </c>
    </row>
    <row r="127" spans="1:14" x14ac:dyDescent="0.2">
      <c r="A127" s="443">
        <v>115</v>
      </c>
      <c r="B127" s="461" t="s">
        <v>243</v>
      </c>
      <c r="C127" s="69" t="s">
        <v>385</v>
      </c>
      <c r="D127" s="848">
        <f t="shared" si="5"/>
        <v>0</v>
      </c>
      <c r="E127" s="851">
        <v>0</v>
      </c>
      <c r="F127" s="851">
        <v>0</v>
      </c>
      <c r="G127" s="851">
        <v>0</v>
      </c>
      <c r="H127" s="851">
        <v>0</v>
      </c>
      <c r="I127" s="851">
        <v>0</v>
      </c>
      <c r="J127" s="851">
        <v>0</v>
      </c>
      <c r="K127" s="848">
        <f t="shared" si="6"/>
        <v>0</v>
      </c>
      <c r="L127" s="851">
        <v>0</v>
      </c>
      <c r="M127" s="851">
        <v>0</v>
      </c>
      <c r="N127" s="851">
        <v>0</v>
      </c>
    </row>
    <row r="128" spans="1:14" x14ac:dyDescent="0.2">
      <c r="A128" s="443">
        <v>116</v>
      </c>
      <c r="B128" s="460" t="s">
        <v>244</v>
      </c>
      <c r="C128" s="462" t="s">
        <v>245</v>
      </c>
      <c r="D128" s="848">
        <f t="shared" si="5"/>
        <v>0</v>
      </c>
      <c r="E128" s="851">
        <v>0</v>
      </c>
      <c r="F128" s="851">
        <v>0</v>
      </c>
      <c r="G128" s="851">
        <v>0</v>
      </c>
      <c r="H128" s="851">
        <v>0</v>
      </c>
      <c r="I128" s="851">
        <v>0</v>
      </c>
      <c r="J128" s="851">
        <v>0</v>
      </c>
      <c r="K128" s="848">
        <f t="shared" si="6"/>
        <v>0</v>
      </c>
      <c r="L128" s="851">
        <v>0</v>
      </c>
      <c r="M128" s="851">
        <v>0</v>
      </c>
      <c r="N128" s="851">
        <v>0</v>
      </c>
    </row>
    <row r="129" spans="1:14" x14ac:dyDescent="0.2">
      <c r="A129" s="443">
        <v>117</v>
      </c>
      <c r="B129" s="460" t="s">
        <v>246</v>
      </c>
      <c r="C129" s="462" t="s">
        <v>247</v>
      </c>
      <c r="D129" s="848">
        <f t="shared" si="5"/>
        <v>0</v>
      </c>
      <c r="E129" s="851">
        <v>0</v>
      </c>
      <c r="F129" s="851">
        <v>0</v>
      </c>
      <c r="G129" s="851">
        <v>0</v>
      </c>
      <c r="H129" s="851">
        <v>0</v>
      </c>
      <c r="I129" s="851">
        <v>0</v>
      </c>
      <c r="J129" s="851">
        <v>0</v>
      </c>
      <c r="K129" s="848">
        <f t="shared" si="6"/>
        <v>0</v>
      </c>
      <c r="L129" s="851">
        <v>0</v>
      </c>
      <c r="M129" s="851">
        <v>0</v>
      </c>
      <c r="N129" s="851">
        <v>0</v>
      </c>
    </row>
    <row r="130" spans="1:14" x14ac:dyDescent="0.2">
      <c r="A130" s="443">
        <v>118</v>
      </c>
      <c r="B130" s="460" t="s">
        <v>248</v>
      </c>
      <c r="C130" s="462" t="s">
        <v>249</v>
      </c>
      <c r="D130" s="848">
        <f t="shared" si="5"/>
        <v>0</v>
      </c>
      <c r="E130" s="851">
        <v>0</v>
      </c>
      <c r="F130" s="851">
        <v>0</v>
      </c>
      <c r="G130" s="851">
        <v>0</v>
      </c>
      <c r="H130" s="851">
        <v>0</v>
      </c>
      <c r="I130" s="851">
        <v>0</v>
      </c>
      <c r="J130" s="851">
        <v>0</v>
      </c>
      <c r="K130" s="848">
        <f t="shared" si="6"/>
        <v>0</v>
      </c>
      <c r="L130" s="851">
        <v>0</v>
      </c>
      <c r="M130" s="851">
        <v>0</v>
      </c>
      <c r="N130" s="851">
        <v>0</v>
      </c>
    </row>
    <row r="131" spans="1:14" x14ac:dyDescent="0.2">
      <c r="A131" s="443">
        <v>119</v>
      </c>
      <c r="B131" s="458" t="s">
        <v>250</v>
      </c>
      <c r="C131" s="459" t="s">
        <v>251</v>
      </c>
      <c r="D131" s="848">
        <f t="shared" si="5"/>
        <v>1383</v>
      </c>
      <c r="E131" s="851">
        <v>1383</v>
      </c>
      <c r="F131" s="851">
        <v>0</v>
      </c>
      <c r="G131" s="851">
        <v>0</v>
      </c>
      <c r="H131" s="851">
        <v>0</v>
      </c>
      <c r="I131" s="852">
        <v>0</v>
      </c>
      <c r="J131" s="852">
        <v>0</v>
      </c>
      <c r="K131" s="848">
        <f t="shared" si="6"/>
        <v>0</v>
      </c>
      <c r="L131" s="851">
        <v>0</v>
      </c>
      <c r="M131" s="851">
        <v>0</v>
      </c>
      <c r="N131" s="851">
        <v>0</v>
      </c>
    </row>
    <row r="132" spans="1:14" x14ac:dyDescent="0.2">
      <c r="A132" s="443">
        <v>120</v>
      </c>
      <c r="B132" s="460" t="s">
        <v>252</v>
      </c>
      <c r="C132" s="459" t="s">
        <v>253</v>
      </c>
      <c r="D132" s="848">
        <f t="shared" si="5"/>
        <v>0</v>
      </c>
      <c r="E132" s="851">
        <v>0</v>
      </c>
      <c r="F132" s="851">
        <v>0</v>
      </c>
      <c r="G132" s="851">
        <v>0</v>
      </c>
      <c r="H132" s="851">
        <v>0</v>
      </c>
      <c r="I132" s="852">
        <v>0</v>
      </c>
      <c r="J132" s="852">
        <v>0</v>
      </c>
      <c r="K132" s="848">
        <f t="shared" si="6"/>
        <v>0</v>
      </c>
      <c r="L132" s="851">
        <v>0</v>
      </c>
      <c r="M132" s="851">
        <v>0</v>
      </c>
      <c r="N132" s="851">
        <v>0</v>
      </c>
    </row>
    <row r="133" spans="1:14" x14ac:dyDescent="0.2">
      <c r="A133" s="443">
        <v>121</v>
      </c>
      <c r="B133" s="461" t="s">
        <v>254</v>
      </c>
      <c r="C133" s="462" t="s">
        <v>255</v>
      </c>
      <c r="D133" s="848">
        <f t="shared" si="5"/>
        <v>9742</v>
      </c>
      <c r="E133" s="851">
        <v>9742</v>
      </c>
      <c r="F133" s="851">
        <v>0</v>
      </c>
      <c r="G133" s="851">
        <v>0</v>
      </c>
      <c r="H133" s="851">
        <v>0</v>
      </c>
      <c r="I133" s="852">
        <v>0</v>
      </c>
      <c r="J133" s="852">
        <v>0</v>
      </c>
      <c r="K133" s="848">
        <f t="shared" si="6"/>
        <v>0</v>
      </c>
      <c r="L133" s="851">
        <v>0</v>
      </c>
      <c r="M133" s="851">
        <v>0</v>
      </c>
      <c r="N133" s="851">
        <v>0</v>
      </c>
    </row>
    <row r="134" spans="1:14" x14ac:dyDescent="0.2">
      <c r="A134" s="443">
        <v>122</v>
      </c>
      <c r="B134" s="461" t="s">
        <v>256</v>
      </c>
      <c r="C134" s="462" t="s">
        <v>257</v>
      </c>
      <c r="D134" s="848">
        <f t="shared" si="5"/>
        <v>0</v>
      </c>
      <c r="E134" s="851">
        <v>0</v>
      </c>
      <c r="F134" s="851">
        <v>0</v>
      </c>
      <c r="G134" s="851">
        <v>0</v>
      </c>
      <c r="H134" s="851">
        <v>0</v>
      </c>
      <c r="I134" s="852">
        <v>0</v>
      </c>
      <c r="J134" s="852">
        <v>0</v>
      </c>
      <c r="K134" s="848">
        <f t="shared" si="6"/>
        <v>0</v>
      </c>
      <c r="L134" s="851">
        <v>0</v>
      </c>
      <c r="M134" s="851">
        <v>0</v>
      </c>
      <c r="N134" s="851">
        <v>0</v>
      </c>
    </row>
    <row r="135" spans="1:14" x14ac:dyDescent="0.2">
      <c r="A135" s="443">
        <v>123</v>
      </c>
      <c r="B135" s="461" t="s">
        <v>258</v>
      </c>
      <c r="C135" s="462" t="s">
        <v>259</v>
      </c>
      <c r="D135" s="848">
        <f t="shared" si="5"/>
        <v>216231</v>
      </c>
      <c r="E135" s="851">
        <v>0</v>
      </c>
      <c r="F135" s="851">
        <v>0</v>
      </c>
      <c r="G135" s="851">
        <v>0</v>
      </c>
      <c r="H135" s="851">
        <v>0</v>
      </c>
      <c r="I135" s="852">
        <v>0</v>
      </c>
      <c r="J135" s="852">
        <v>0</v>
      </c>
      <c r="K135" s="848">
        <f t="shared" si="6"/>
        <v>216231</v>
      </c>
      <c r="L135" s="851">
        <v>0</v>
      </c>
      <c r="M135" s="851">
        <v>216231</v>
      </c>
      <c r="N135" s="851">
        <v>0</v>
      </c>
    </row>
    <row r="136" spans="1:14" x14ac:dyDescent="0.2">
      <c r="A136" s="443">
        <v>124</v>
      </c>
      <c r="B136" s="461" t="s">
        <v>260</v>
      </c>
      <c r="C136" s="462" t="s">
        <v>261</v>
      </c>
      <c r="D136" s="848">
        <f t="shared" si="5"/>
        <v>130000</v>
      </c>
      <c r="E136" s="851">
        <v>0</v>
      </c>
      <c r="F136" s="851">
        <v>0</v>
      </c>
      <c r="G136" s="851">
        <v>0</v>
      </c>
      <c r="H136" s="851">
        <v>0</v>
      </c>
      <c r="I136" s="852">
        <v>0</v>
      </c>
      <c r="J136" s="852">
        <v>0</v>
      </c>
      <c r="K136" s="848">
        <f t="shared" si="6"/>
        <v>130000</v>
      </c>
      <c r="L136" s="851">
        <v>0</v>
      </c>
      <c r="M136" s="851">
        <v>130000</v>
      </c>
      <c r="N136" s="851">
        <v>0</v>
      </c>
    </row>
    <row r="137" spans="1:14" x14ac:dyDescent="0.2">
      <c r="A137" s="443">
        <v>125</v>
      </c>
      <c r="B137" s="461" t="s">
        <v>262</v>
      </c>
      <c r="C137" s="462" t="s">
        <v>263</v>
      </c>
      <c r="D137" s="848">
        <f t="shared" ref="D137:D152" si="7">E137+G137+H137+I137+J137+K137</f>
        <v>85000</v>
      </c>
      <c r="E137" s="851">
        <v>0</v>
      </c>
      <c r="F137" s="851">
        <v>0</v>
      </c>
      <c r="G137" s="851">
        <v>0</v>
      </c>
      <c r="H137" s="851">
        <v>0</v>
      </c>
      <c r="I137" s="852">
        <v>0</v>
      </c>
      <c r="J137" s="852">
        <v>0</v>
      </c>
      <c r="K137" s="848">
        <f t="shared" si="6"/>
        <v>85000</v>
      </c>
      <c r="L137" s="851">
        <v>0</v>
      </c>
      <c r="M137" s="851">
        <v>85000</v>
      </c>
      <c r="N137" s="851">
        <v>300</v>
      </c>
    </row>
    <row r="138" spans="1:14" x14ac:dyDescent="0.2">
      <c r="A138" s="443">
        <v>126</v>
      </c>
      <c r="B138" s="458" t="s">
        <v>264</v>
      </c>
      <c r="C138" s="459" t="s">
        <v>265</v>
      </c>
      <c r="D138" s="848">
        <f t="shared" si="7"/>
        <v>114092</v>
      </c>
      <c r="E138" s="851">
        <v>0</v>
      </c>
      <c r="F138" s="851">
        <v>0</v>
      </c>
      <c r="G138" s="851">
        <v>0</v>
      </c>
      <c r="H138" s="851">
        <v>0</v>
      </c>
      <c r="I138" s="852">
        <v>0</v>
      </c>
      <c r="J138" s="852">
        <v>0</v>
      </c>
      <c r="K138" s="848">
        <f t="shared" si="6"/>
        <v>114092</v>
      </c>
      <c r="L138" s="851">
        <v>0</v>
      </c>
      <c r="M138" s="851">
        <v>114092</v>
      </c>
      <c r="N138" s="851">
        <v>0</v>
      </c>
    </row>
    <row r="139" spans="1:14" x14ac:dyDescent="0.2">
      <c r="A139" s="443">
        <v>127</v>
      </c>
      <c r="B139" s="458" t="s">
        <v>266</v>
      </c>
      <c r="C139" s="462" t="s">
        <v>267</v>
      </c>
      <c r="D139" s="848">
        <f t="shared" si="7"/>
        <v>75721</v>
      </c>
      <c r="E139" s="851">
        <v>10365</v>
      </c>
      <c r="F139" s="851">
        <v>0</v>
      </c>
      <c r="G139" s="851">
        <v>0</v>
      </c>
      <c r="H139" s="851">
        <v>0</v>
      </c>
      <c r="I139" s="852">
        <v>0</v>
      </c>
      <c r="J139" s="852">
        <v>0</v>
      </c>
      <c r="K139" s="848">
        <f t="shared" si="6"/>
        <v>65356</v>
      </c>
      <c r="L139" s="851">
        <v>0</v>
      </c>
      <c r="M139" s="851">
        <v>65356</v>
      </c>
      <c r="N139" s="851">
        <v>0</v>
      </c>
    </row>
    <row r="140" spans="1:14" x14ac:dyDescent="0.2">
      <c r="A140" s="443">
        <v>128</v>
      </c>
      <c r="B140" s="463" t="s">
        <v>268</v>
      </c>
      <c r="C140" s="69" t="s">
        <v>269</v>
      </c>
      <c r="D140" s="848">
        <f t="shared" si="7"/>
        <v>31644</v>
      </c>
      <c r="E140" s="851">
        <v>27644</v>
      </c>
      <c r="F140" s="851">
        <v>0</v>
      </c>
      <c r="G140" s="851">
        <v>0</v>
      </c>
      <c r="H140" s="851">
        <v>0</v>
      </c>
      <c r="I140" s="852">
        <v>0</v>
      </c>
      <c r="J140" s="852">
        <v>0</v>
      </c>
      <c r="K140" s="848">
        <f t="shared" si="6"/>
        <v>4000</v>
      </c>
      <c r="L140" s="851">
        <v>0</v>
      </c>
      <c r="M140" s="851">
        <v>4000</v>
      </c>
      <c r="N140" s="851">
        <v>0</v>
      </c>
    </row>
    <row r="141" spans="1:14" x14ac:dyDescent="0.2">
      <c r="A141" s="443">
        <v>129</v>
      </c>
      <c r="B141" s="461" t="s">
        <v>270</v>
      </c>
      <c r="C141" s="462" t="s">
        <v>271</v>
      </c>
      <c r="D141" s="848">
        <f t="shared" si="7"/>
        <v>78000</v>
      </c>
      <c r="E141" s="851">
        <v>0</v>
      </c>
      <c r="F141" s="851">
        <v>0</v>
      </c>
      <c r="G141" s="851">
        <v>0</v>
      </c>
      <c r="H141" s="851">
        <v>0</v>
      </c>
      <c r="I141" s="852">
        <v>0</v>
      </c>
      <c r="J141" s="852">
        <v>0</v>
      </c>
      <c r="K141" s="848">
        <f t="shared" si="6"/>
        <v>78000</v>
      </c>
      <c r="L141" s="851">
        <v>0</v>
      </c>
      <c r="M141" s="851">
        <v>78000</v>
      </c>
      <c r="N141" s="851">
        <v>0</v>
      </c>
    </row>
    <row r="142" spans="1:14" x14ac:dyDescent="0.2">
      <c r="A142" s="443">
        <v>130</v>
      </c>
      <c r="B142" s="461" t="s">
        <v>272</v>
      </c>
      <c r="C142" s="462" t="s">
        <v>273</v>
      </c>
      <c r="D142" s="848">
        <f t="shared" si="7"/>
        <v>182</v>
      </c>
      <c r="E142" s="851">
        <v>0</v>
      </c>
      <c r="F142" s="851">
        <v>0</v>
      </c>
      <c r="G142" s="851">
        <v>0</v>
      </c>
      <c r="H142" s="851">
        <v>0</v>
      </c>
      <c r="I142" s="852">
        <v>0</v>
      </c>
      <c r="J142" s="852">
        <v>0</v>
      </c>
      <c r="K142" s="848">
        <f t="shared" ref="K142:K152" si="8">L142+M142</f>
        <v>182</v>
      </c>
      <c r="L142" s="851">
        <v>0</v>
      </c>
      <c r="M142" s="851">
        <v>182</v>
      </c>
      <c r="N142" s="851">
        <v>0</v>
      </c>
    </row>
    <row r="143" spans="1:14" x14ac:dyDescent="0.2">
      <c r="A143" s="443">
        <v>131</v>
      </c>
      <c r="B143" s="461" t="s">
        <v>274</v>
      </c>
      <c r="C143" s="462" t="s">
        <v>275</v>
      </c>
      <c r="D143" s="848">
        <f t="shared" si="7"/>
        <v>57392</v>
      </c>
      <c r="E143" s="851">
        <v>0</v>
      </c>
      <c r="F143" s="851">
        <v>0</v>
      </c>
      <c r="G143" s="851">
        <v>0</v>
      </c>
      <c r="H143" s="851">
        <v>0</v>
      </c>
      <c r="I143" s="852">
        <v>3075</v>
      </c>
      <c r="J143" s="852">
        <v>1317</v>
      </c>
      <c r="K143" s="848">
        <f t="shared" si="8"/>
        <v>53000</v>
      </c>
      <c r="L143" s="851">
        <v>0</v>
      </c>
      <c r="M143" s="851">
        <v>53000</v>
      </c>
      <c r="N143" s="851">
        <v>0</v>
      </c>
    </row>
    <row r="144" spans="1:14" x14ac:dyDescent="0.2">
      <c r="A144" s="443">
        <v>132</v>
      </c>
      <c r="B144" s="463" t="s">
        <v>276</v>
      </c>
      <c r="C144" s="69" t="s">
        <v>277</v>
      </c>
      <c r="D144" s="848">
        <f t="shared" si="7"/>
        <v>13142</v>
      </c>
      <c r="E144" s="851">
        <v>0</v>
      </c>
      <c r="F144" s="851">
        <v>0</v>
      </c>
      <c r="G144" s="851">
        <v>6883</v>
      </c>
      <c r="H144" s="851">
        <v>4832</v>
      </c>
      <c r="I144" s="852">
        <v>0</v>
      </c>
      <c r="J144" s="852">
        <v>0</v>
      </c>
      <c r="K144" s="848">
        <f t="shared" si="8"/>
        <v>1427</v>
      </c>
      <c r="L144" s="851">
        <v>0</v>
      </c>
      <c r="M144" s="851">
        <v>1427</v>
      </c>
      <c r="N144" s="851">
        <v>0</v>
      </c>
    </row>
    <row r="145" spans="1:14" x14ac:dyDescent="0.2">
      <c r="A145" s="443">
        <v>133</v>
      </c>
      <c r="B145" s="460" t="s">
        <v>278</v>
      </c>
      <c r="C145" s="69" t="s">
        <v>279</v>
      </c>
      <c r="D145" s="848">
        <f t="shared" si="7"/>
        <v>60746</v>
      </c>
      <c r="E145" s="851">
        <v>0</v>
      </c>
      <c r="F145" s="851">
        <v>0</v>
      </c>
      <c r="G145" s="851">
        <v>14446</v>
      </c>
      <c r="H145" s="851">
        <v>41937</v>
      </c>
      <c r="I145" s="852">
        <v>0</v>
      </c>
      <c r="J145" s="852">
        <v>0</v>
      </c>
      <c r="K145" s="848">
        <f t="shared" si="8"/>
        <v>4363</v>
      </c>
      <c r="L145" s="851">
        <v>0</v>
      </c>
      <c r="M145" s="851">
        <v>4363</v>
      </c>
      <c r="N145" s="851">
        <v>0</v>
      </c>
    </row>
    <row r="146" spans="1:14" x14ac:dyDescent="0.2">
      <c r="A146" s="443">
        <v>134</v>
      </c>
      <c r="B146" s="461" t="s">
        <v>280</v>
      </c>
      <c r="C146" s="462" t="s">
        <v>281</v>
      </c>
      <c r="D146" s="848">
        <f t="shared" si="7"/>
        <v>4650</v>
      </c>
      <c r="E146" s="851">
        <v>0</v>
      </c>
      <c r="F146" s="851">
        <v>0</v>
      </c>
      <c r="G146" s="851">
        <v>0</v>
      </c>
      <c r="H146" s="851">
        <v>0</v>
      </c>
      <c r="I146" s="852">
        <v>0</v>
      </c>
      <c r="J146" s="852">
        <v>0</v>
      </c>
      <c r="K146" s="848">
        <f t="shared" si="8"/>
        <v>4650</v>
      </c>
      <c r="L146" s="851">
        <v>1650</v>
      </c>
      <c r="M146" s="851">
        <v>3000</v>
      </c>
      <c r="N146" s="851">
        <v>0</v>
      </c>
    </row>
    <row r="147" spans="1:14" x14ac:dyDescent="0.2">
      <c r="A147" s="443">
        <v>135</v>
      </c>
      <c r="B147" s="458" t="s">
        <v>282</v>
      </c>
      <c r="C147" s="459" t="s">
        <v>283</v>
      </c>
      <c r="D147" s="848">
        <f t="shared" si="7"/>
        <v>14805</v>
      </c>
      <c r="E147" s="851">
        <v>0</v>
      </c>
      <c r="F147" s="851">
        <v>0</v>
      </c>
      <c r="G147" s="851">
        <v>0</v>
      </c>
      <c r="H147" s="851">
        <v>0</v>
      </c>
      <c r="I147" s="852">
        <v>0</v>
      </c>
      <c r="J147" s="852">
        <v>0</v>
      </c>
      <c r="K147" s="848">
        <f t="shared" si="8"/>
        <v>14805</v>
      </c>
      <c r="L147" s="851">
        <v>0</v>
      </c>
      <c r="M147" s="851">
        <v>14805</v>
      </c>
      <c r="N147" s="851">
        <v>0</v>
      </c>
    </row>
    <row r="148" spans="1:14" ht="12.75" x14ac:dyDescent="0.2">
      <c r="A148" s="443">
        <v>136</v>
      </c>
      <c r="B148" s="466" t="s">
        <v>284</v>
      </c>
      <c r="C148" s="467" t="s">
        <v>285</v>
      </c>
      <c r="D148" s="848">
        <f t="shared" si="7"/>
        <v>0</v>
      </c>
      <c r="E148" s="851">
        <v>0</v>
      </c>
      <c r="F148" s="851">
        <v>0</v>
      </c>
      <c r="G148" s="851">
        <v>0</v>
      </c>
      <c r="H148" s="851">
        <v>0</v>
      </c>
      <c r="I148" s="852">
        <v>0</v>
      </c>
      <c r="J148" s="852">
        <v>0</v>
      </c>
      <c r="K148" s="848">
        <f t="shared" si="8"/>
        <v>0</v>
      </c>
      <c r="L148" s="851">
        <v>0</v>
      </c>
      <c r="M148" s="851">
        <v>0</v>
      </c>
      <c r="N148" s="851">
        <v>0</v>
      </c>
    </row>
    <row r="149" spans="1:14" x14ac:dyDescent="0.2">
      <c r="A149" s="443">
        <v>137</v>
      </c>
      <c r="B149" s="77" t="s">
        <v>387</v>
      </c>
      <c r="C149" s="454" t="s">
        <v>388</v>
      </c>
      <c r="D149" s="848">
        <f t="shared" si="7"/>
        <v>0</v>
      </c>
      <c r="E149" s="851">
        <v>0</v>
      </c>
      <c r="F149" s="853">
        <v>0</v>
      </c>
      <c r="G149" s="851"/>
      <c r="H149" s="851"/>
      <c r="I149" s="853"/>
      <c r="J149" s="853"/>
      <c r="K149" s="848">
        <f t="shared" si="8"/>
        <v>0</v>
      </c>
      <c r="L149" s="853">
        <v>0</v>
      </c>
      <c r="M149" s="853"/>
      <c r="N149" s="853">
        <v>0</v>
      </c>
    </row>
    <row r="150" spans="1:14" x14ac:dyDescent="0.2">
      <c r="A150" s="443">
        <v>138</v>
      </c>
      <c r="B150" s="78" t="s">
        <v>389</v>
      </c>
      <c r="C150" s="455" t="s">
        <v>390</v>
      </c>
      <c r="D150" s="848">
        <f t="shared" si="7"/>
        <v>0</v>
      </c>
      <c r="E150" s="851">
        <v>0</v>
      </c>
      <c r="F150" s="854">
        <v>0</v>
      </c>
      <c r="G150" s="851"/>
      <c r="H150" s="851"/>
      <c r="I150" s="854"/>
      <c r="J150" s="854"/>
      <c r="K150" s="848">
        <f t="shared" si="8"/>
        <v>0</v>
      </c>
      <c r="L150" s="853">
        <v>0</v>
      </c>
      <c r="M150" s="853"/>
      <c r="N150" s="853">
        <v>0</v>
      </c>
    </row>
    <row r="151" spans="1:14" x14ac:dyDescent="0.2">
      <c r="A151" s="443">
        <v>139</v>
      </c>
      <c r="B151" s="79" t="s">
        <v>391</v>
      </c>
      <c r="C151" s="456" t="s">
        <v>392</v>
      </c>
      <c r="D151" s="848">
        <f t="shared" si="7"/>
        <v>0</v>
      </c>
      <c r="E151" s="851">
        <v>0</v>
      </c>
      <c r="F151" s="854">
        <v>0</v>
      </c>
      <c r="G151" s="851"/>
      <c r="H151" s="851"/>
      <c r="I151" s="853"/>
      <c r="J151" s="853"/>
      <c r="K151" s="848">
        <f t="shared" si="8"/>
        <v>0</v>
      </c>
      <c r="L151" s="853">
        <v>0</v>
      </c>
      <c r="M151" s="853"/>
      <c r="N151" s="853">
        <v>0</v>
      </c>
    </row>
    <row r="152" spans="1:14" x14ac:dyDescent="0.2">
      <c r="A152" s="443">
        <v>140</v>
      </c>
      <c r="B152" s="443" t="s">
        <v>393</v>
      </c>
      <c r="C152" s="457" t="s">
        <v>394</v>
      </c>
      <c r="D152" s="848">
        <f t="shared" si="7"/>
        <v>0</v>
      </c>
      <c r="E152" s="851">
        <v>0</v>
      </c>
      <c r="F152" s="853">
        <v>0</v>
      </c>
      <c r="G152" s="851"/>
      <c r="H152" s="851"/>
      <c r="I152" s="853"/>
      <c r="J152" s="853"/>
      <c r="K152" s="848">
        <f t="shared" si="8"/>
        <v>0</v>
      </c>
      <c r="L152" s="853">
        <v>0</v>
      </c>
      <c r="M152" s="853"/>
      <c r="N152" s="853">
        <v>0</v>
      </c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51"/>
  <sheetViews>
    <sheetView zoomScaleNormal="100" workbookViewId="0">
      <pane xSplit="1" ySplit="9" topLeftCell="B10" activePane="bottomRight" state="frozen"/>
      <selection pane="topRight" activeCell="D1" sqref="D1"/>
      <selection pane="bottomLeft" activeCell="A10" sqref="A10"/>
      <selection pane="bottomRight" activeCell="E30" sqref="E30"/>
    </sheetView>
  </sheetViews>
  <sheetFormatPr defaultRowHeight="12" x14ac:dyDescent="0.2"/>
  <cols>
    <col min="1" max="2" width="9.140625" style="855"/>
    <col min="3" max="3" width="28" style="855" customWidth="1"/>
    <col min="4" max="4" width="17.42578125" style="855" customWidth="1"/>
    <col min="5" max="5" width="16.28515625" style="855" customWidth="1"/>
    <col min="6" max="6" width="14.7109375" style="855" customWidth="1"/>
    <col min="7" max="7" width="13.42578125" style="855" customWidth="1"/>
    <col min="8" max="8" width="13.85546875" style="855" customWidth="1"/>
    <col min="9" max="16384" width="9.140625" style="855"/>
  </cols>
  <sheetData>
    <row r="1" spans="1:8" ht="45.75" customHeight="1" x14ac:dyDescent="0.2">
      <c r="A1" s="1017" t="s">
        <v>355</v>
      </c>
      <c r="B1" s="1017"/>
      <c r="C1" s="1017"/>
      <c r="D1" s="1017"/>
      <c r="E1" s="1017"/>
      <c r="F1" s="1017"/>
      <c r="G1" s="1017"/>
      <c r="H1" s="1017"/>
    </row>
    <row r="2" spans="1:8" ht="12" customHeight="1" x14ac:dyDescent="0.2">
      <c r="A2" s="1018" t="s">
        <v>0</v>
      </c>
      <c r="B2" s="1021" t="s">
        <v>1</v>
      </c>
      <c r="C2" s="1018" t="s">
        <v>2</v>
      </c>
      <c r="D2" s="1024" t="s">
        <v>352</v>
      </c>
      <c r="E2" s="1024"/>
      <c r="F2" s="1024"/>
      <c r="G2" s="1024"/>
      <c r="H2" s="1024"/>
    </row>
    <row r="3" spans="1:8" ht="12.75" customHeight="1" x14ac:dyDescent="0.2">
      <c r="A3" s="1019"/>
      <c r="B3" s="1022"/>
      <c r="C3" s="1019"/>
      <c r="D3" s="1018" t="s">
        <v>3</v>
      </c>
      <c r="E3" s="1025" t="s">
        <v>4</v>
      </c>
      <c r="F3" s="1026"/>
      <c r="G3" s="1026"/>
      <c r="H3" s="1027"/>
    </row>
    <row r="4" spans="1:8" ht="12.75" customHeight="1" x14ac:dyDescent="0.2">
      <c r="A4" s="1019"/>
      <c r="B4" s="1022"/>
      <c r="C4" s="1019"/>
      <c r="D4" s="1019"/>
      <c r="E4" s="1028" t="s">
        <v>340</v>
      </c>
      <c r="F4" s="1030" t="s">
        <v>341</v>
      </c>
      <c r="G4" s="1031"/>
      <c r="H4" s="1032" t="s">
        <v>353</v>
      </c>
    </row>
    <row r="5" spans="1:8" ht="36" x14ac:dyDescent="0.2">
      <c r="A5" s="1020"/>
      <c r="B5" s="1023"/>
      <c r="C5" s="1020"/>
      <c r="D5" s="1020"/>
      <c r="E5" s="1029"/>
      <c r="F5" s="856" t="s">
        <v>345</v>
      </c>
      <c r="G5" s="857" t="s">
        <v>346</v>
      </c>
      <c r="H5" s="1029"/>
    </row>
    <row r="6" spans="1:8" s="862" customFormat="1" ht="11.25" x14ac:dyDescent="0.2">
      <c r="A6" s="858">
        <v>1</v>
      </c>
      <c r="B6" s="858">
        <v>2</v>
      </c>
      <c r="C6" s="858">
        <v>3</v>
      </c>
      <c r="D6" s="859">
        <v>4</v>
      </c>
      <c r="E6" s="860">
        <v>5</v>
      </c>
      <c r="F6" s="860">
        <v>6</v>
      </c>
      <c r="G6" s="860">
        <v>7</v>
      </c>
      <c r="H6" s="861">
        <v>8</v>
      </c>
    </row>
    <row r="7" spans="1:8" s="862" customFormat="1" x14ac:dyDescent="0.2">
      <c r="A7" s="981" t="s">
        <v>6</v>
      </c>
      <c r="B7" s="981"/>
      <c r="C7" s="981"/>
      <c r="D7" s="863">
        <f>E7+F7+G7+H7</f>
        <v>2379731</v>
      </c>
      <c r="E7" s="863">
        <f>E8+E9</f>
        <v>67170</v>
      </c>
      <c r="F7" s="863">
        <f t="shared" ref="F7:H7" si="0">F8+F9</f>
        <v>448430</v>
      </c>
      <c r="G7" s="863">
        <f t="shared" si="0"/>
        <v>1629161</v>
      </c>
      <c r="H7" s="863">
        <f t="shared" si="0"/>
        <v>234970</v>
      </c>
    </row>
    <row r="8" spans="1:8" s="862" customFormat="1" ht="12" customHeight="1" x14ac:dyDescent="0.2">
      <c r="A8" s="985" t="s">
        <v>14</v>
      </c>
      <c r="B8" s="986"/>
      <c r="C8" s="987"/>
      <c r="D8" s="860">
        <f>E8+F8+G8+H8</f>
        <v>0</v>
      </c>
      <c r="E8" s="860">
        <v>0</v>
      </c>
      <c r="F8" s="860">
        <v>0</v>
      </c>
      <c r="G8" s="860">
        <v>0</v>
      </c>
      <c r="H8" s="859">
        <v>0</v>
      </c>
    </row>
    <row r="9" spans="1:8" s="862" customFormat="1" ht="12" customHeight="1" x14ac:dyDescent="0.2">
      <c r="A9" s="985" t="s">
        <v>15</v>
      </c>
      <c r="B9" s="986"/>
      <c r="C9" s="987"/>
      <c r="D9" s="863">
        <f>E9+F9+G9+H9</f>
        <v>2379731</v>
      </c>
      <c r="E9" s="863">
        <f>SUM(E10:E147)</f>
        <v>67170</v>
      </c>
      <c r="F9" s="863">
        <f>SUM(F10:F147)</f>
        <v>448430</v>
      </c>
      <c r="G9" s="863">
        <f>SUM(G10:G147)</f>
        <v>1629161</v>
      </c>
      <c r="H9" s="863">
        <f>SUM(H10:H147)</f>
        <v>234970</v>
      </c>
    </row>
    <row r="10" spans="1:8" x14ac:dyDescent="0.2">
      <c r="A10" s="443">
        <v>1</v>
      </c>
      <c r="B10" s="458" t="s">
        <v>16</v>
      </c>
      <c r="C10" s="459" t="s">
        <v>17</v>
      </c>
      <c r="D10" s="864">
        <f>E10+F10+G10+H10</f>
        <v>6570</v>
      </c>
      <c r="E10" s="864">
        <v>0</v>
      </c>
      <c r="F10" s="864">
        <v>1900</v>
      </c>
      <c r="G10" s="864">
        <v>4670</v>
      </c>
      <c r="H10" s="864">
        <v>0</v>
      </c>
    </row>
    <row r="11" spans="1:8" x14ac:dyDescent="0.2">
      <c r="A11" s="443">
        <v>2</v>
      </c>
      <c r="B11" s="460" t="s">
        <v>18</v>
      </c>
      <c r="C11" s="459" t="s">
        <v>19</v>
      </c>
      <c r="D11" s="864">
        <f>E11+F11+G11+H11</f>
        <v>3933</v>
      </c>
      <c r="E11" s="864">
        <v>0</v>
      </c>
      <c r="F11" s="864">
        <v>620</v>
      </c>
      <c r="G11" s="864">
        <v>3313</v>
      </c>
      <c r="H11" s="864">
        <v>0</v>
      </c>
    </row>
    <row r="12" spans="1:8" x14ac:dyDescent="0.2">
      <c r="A12" s="443">
        <v>3</v>
      </c>
      <c r="B12" s="461" t="s">
        <v>20</v>
      </c>
      <c r="C12" s="462" t="s">
        <v>21</v>
      </c>
      <c r="D12" s="864">
        <f t="shared" ref="D12:D75" si="1">E12+F12+G12+H12</f>
        <v>28814</v>
      </c>
      <c r="E12" s="864">
        <v>0</v>
      </c>
      <c r="F12" s="864">
        <v>2806</v>
      </c>
      <c r="G12" s="864">
        <v>16717</v>
      </c>
      <c r="H12" s="864">
        <v>9291</v>
      </c>
    </row>
    <row r="13" spans="1:8" x14ac:dyDescent="0.2">
      <c r="A13" s="443">
        <v>4</v>
      </c>
      <c r="B13" s="458" t="s">
        <v>22</v>
      </c>
      <c r="C13" s="459" t="s">
        <v>23</v>
      </c>
      <c r="D13" s="864">
        <f t="shared" si="1"/>
        <v>8721</v>
      </c>
      <c r="E13" s="864">
        <v>0</v>
      </c>
      <c r="F13" s="864">
        <v>1920</v>
      </c>
      <c r="G13" s="864">
        <v>6801</v>
      </c>
      <c r="H13" s="864">
        <v>0</v>
      </c>
    </row>
    <row r="14" spans="1:8" ht="18.75" customHeight="1" x14ac:dyDescent="0.2">
      <c r="A14" s="443">
        <v>5</v>
      </c>
      <c r="B14" s="458" t="s">
        <v>24</v>
      </c>
      <c r="C14" s="459" t="s">
        <v>25</v>
      </c>
      <c r="D14" s="864">
        <f t="shared" si="1"/>
        <v>8613</v>
      </c>
      <c r="E14" s="864">
        <v>0</v>
      </c>
      <c r="F14" s="864">
        <v>4175</v>
      </c>
      <c r="G14" s="864">
        <v>4438</v>
      </c>
      <c r="H14" s="864">
        <v>0</v>
      </c>
    </row>
    <row r="15" spans="1:8" x14ac:dyDescent="0.2">
      <c r="A15" s="443">
        <v>6</v>
      </c>
      <c r="B15" s="461" t="s">
        <v>26</v>
      </c>
      <c r="C15" s="462" t="s">
        <v>27</v>
      </c>
      <c r="D15" s="864">
        <f t="shared" si="1"/>
        <v>114657</v>
      </c>
      <c r="E15" s="864">
        <v>0</v>
      </c>
      <c r="F15" s="864">
        <v>22479</v>
      </c>
      <c r="G15" s="864">
        <v>76082</v>
      </c>
      <c r="H15" s="864">
        <v>16096</v>
      </c>
    </row>
    <row r="16" spans="1:8" x14ac:dyDescent="0.2">
      <c r="A16" s="443">
        <v>7</v>
      </c>
      <c r="B16" s="463" t="s">
        <v>28</v>
      </c>
      <c r="C16" s="69" t="s">
        <v>29</v>
      </c>
      <c r="D16" s="864">
        <f t="shared" si="1"/>
        <v>51955</v>
      </c>
      <c r="E16" s="864">
        <v>0</v>
      </c>
      <c r="F16" s="864">
        <v>4765</v>
      </c>
      <c r="G16" s="864">
        <v>38989</v>
      </c>
      <c r="H16" s="864">
        <v>8201</v>
      </c>
    </row>
    <row r="17" spans="1:8" x14ac:dyDescent="0.2">
      <c r="A17" s="443">
        <v>8</v>
      </c>
      <c r="B17" s="461" t="s">
        <v>30</v>
      </c>
      <c r="C17" s="462" t="s">
        <v>31</v>
      </c>
      <c r="D17" s="864">
        <f t="shared" si="1"/>
        <v>11789</v>
      </c>
      <c r="E17" s="864">
        <v>0</v>
      </c>
      <c r="F17" s="864">
        <v>6160</v>
      </c>
      <c r="G17" s="864">
        <v>5629</v>
      </c>
      <c r="H17" s="864">
        <v>0</v>
      </c>
    </row>
    <row r="18" spans="1:8" x14ac:dyDescent="0.2">
      <c r="A18" s="443">
        <v>9</v>
      </c>
      <c r="B18" s="461" t="s">
        <v>32</v>
      </c>
      <c r="C18" s="462" t="s">
        <v>33</v>
      </c>
      <c r="D18" s="864">
        <f t="shared" si="1"/>
        <v>12163</v>
      </c>
      <c r="E18" s="864">
        <v>0</v>
      </c>
      <c r="F18" s="864">
        <v>1858</v>
      </c>
      <c r="G18" s="864">
        <v>10305</v>
      </c>
      <c r="H18" s="864">
        <v>0</v>
      </c>
    </row>
    <row r="19" spans="1:8" x14ac:dyDescent="0.2">
      <c r="A19" s="443">
        <v>10</v>
      </c>
      <c r="B19" s="461" t="s">
        <v>34</v>
      </c>
      <c r="C19" s="462" t="s">
        <v>35</v>
      </c>
      <c r="D19" s="864">
        <f t="shared" si="1"/>
        <v>9626</v>
      </c>
      <c r="E19" s="864">
        <v>0</v>
      </c>
      <c r="F19" s="864">
        <v>3844</v>
      </c>
      <c r="G19" s="864">
        <v>5782</v>
      </c>
      <c r="H19" s="864">
        <v>0</v>
      </c>
    </row>
    <row r="20" spans="1:8" x14ac:dyDescent="0.2">
      <c r="A20" s="443">
        <v>11</v>
      </c>
      <c r="B20" s="461" t="s">
        <v>36</v>
      </c>
      <c r="C20" s="462" t="s">
        <v>37</v>
      </c>
      <c r="D20" s="864">
        <f t="shared" si="1"/>
        <v>6293</v>
      </c>
      <c r="E20" s="864">
        <v>0</v>
      </c>
      <c r="F20" s="864">
        <v>3496</v>
      </c>
      <c r="G20" s="864">
        <v>2797</v>
      </c>
      <c r="H20" s="864">
        <v>0</v>
      </c>
    </row>
    <row r="21" spans="1:8" x14ac:dyDescent="0.2">
      <c r="A21" s="443">
        <v>12</v>
      </c>
      <c r="B21" s="461" t="s">
        <v>38</v>
      </c>
      <c r="C21" s="462" t="s">
        <v>39</v>
      </c>
      <c r="D21" s="864">
        <f t="shared" si="1"/>
        <v>25572</v>
      </c>
      <c r="E21" s="864">
        <v>0</v>
      </c>
      <c r="F21" s="864">
        <v>3175</v>
      </c>
      <c r="G21" s="864">
        <v>22397</v>
      </c>
      <c r="H21" s="864">
        <v>0</v>
      </c>
    </row>
    <row r="22" spans="1:8" x14ac:dyDescent="0.2">
      <c r="A22" s="2">
        <v>13</v>
      </c>
      <c r="B22" s="461" t="s">
        <v>40</v>
      </c>
      <c r="C22" s="462" t="s">
        <v>41</v>
      </c>
      <c r="D22" s="864">
        <f t="shared" si="1"/>
        <v>0</v>
      </c>
      <c r="E22" s="864">
        <v>0</v>
      </c>
      <c r="F22" s="864">
        <v>0</v>
      </c>
      <c r="G22" s="864">
        <v>0</v>
      </c>
      <c r="H22" s="864">
        <v>0</v>
      </c>
    </row>
    <row r="23" spans="1:8" ht="16.5" customHeight="1" x14ac:dyDescent="0.2">
      <c r="A23" s="443">
        <v>14</v>
      </c>
      <c r="B23" s="458" t="s">
        <v>42</v>
      </c>
      <c r="C23" s="462" t="s">
        <v>43</v>
      </c>
      <c r="D23" s="864">
        <f t="shared" si="1"/>
        <v>0</v>
      </c>
      <c r="E23" s="864">
        <v>0</v>
      </c>
      <c r="F23" s="864">
        <v>0</v>
      </c>
      <c r="G23" s="864">
        <v>0</v>
      </c>
      <c r="H23" s="864">
        <v>0</v>
      </c>
    </row>
    <row r="24" spans="1:8" x14ac:dyDescent="0.2">
      <c r="A24" s="2">
        <v>15</v>
      </c>
      <c r="B24" s="461" t="s">
        <v>44</v>
      </c>
      <c r="C24" s="462" t="s">
        <v>45</v>
      </c>
      <c r="D24" s="864">
        <f t="shared" si="1"/>
        <v>20569</v>
      </c>
      <c r="E24" s="864">
        <v>0</v>
      </c>
      <c r="F24" s="864">
        <v>2309</v>
      </c>
      <c r="G24" s="864">
        <v>18260</v>
      </c>
      <c r="H24" s="864">
        <v>0</v>
      </c>
    </row>
    <row r="25" spans="1:8" x14ac:dyDescent="0.2">
      <c r="A25" s="443">
        <v>16</v>
      </c>
      <c r="B25" s="461" t="s">
        <v>46</v>
      </c>
      <c r="C25" s="462" t="s">
        <v>47</v>
      </c>
      <c r="D25" s="864">
        <f t="shared" si="1"/>
        <v>31723</v>
      </c>
      <c r="E25" s="864">
        <v>0</v>
      </c>
      <c r="F25" s="864">
        <v>15143</v>
      </c>
      <c r="G25" s="864">
        <v>16580</v>
      </c>
      <c r="H25" s="864">
        <v>0</v>
      </c>
    </row>
    <row r="26" spans="1:8" x14ac:dyDescent="0.2">
      <c r="A26" s="2">
        <v>17</v>
      </c>
      <c r="B26" s="461" t="s">
        <v>48</v>
      </c>
      <c r="C26" s="462" t="s">
        <v>49</v>
      </c>
      <c r="D26" s="864">
        <f t="shared" si="1"/>
        <v>33698</v>
      </c>
      <c r="E26" s="864">
        <v>0</v>
      </c>
      <c r="F26" s="864">
        <v>11760</v>
      </c>
      <c r="G26" s="864">
        <v>21938</v>
      </c>
      <c r="H26" s="864">
        <v>0</v>
      </c>
    </row>
    <row r="27" spans="1:8" x14ac:dyDescent="0.2">
      <c r="A27" s="443">
        <v>18</v>
      </c>
      <c r="B27" s="461" t="s">
        <v>50</v>
      </c>
      <c r="C27" s="462" t="s">
        <v>51</v>
      </c>
      <c r="D27" s="864">
        <f t="shared" si="1"/>
        <v>63363</v>
      </c>
      <c r="E27" s="864">
        <v>0</v>
      </c>
      <c r="F27" s="864">
        <v>11900</v>
      </c>
      <c r="G27" s="864">
        <v>37203</v>
      </c>
      <c r="H27" s="864">
        <v>14260</v>
      </c>
    </row>
    <row r="28" spans="1:8" x14ac:dyDescent="0.2">
      <c r="A28" s="2">
        <v>19</v>
      </c>
      <c r="B28" s="458" t="s">
        <v>52</v>
      </c>
      <c r="C28" s="459" t="s">
        <v>53</v>
      </c>
      <c r="D28" s="864">
        <f t="shared" si="1"/>
        <v>6786</v>
      </c>
      <c r="E28" s="864">
        <v>0</v>
      </c>
      <c r="F28" s="864">
        <v>1870</v>
      </c>
      <c r="G28" s="864">
        <v>4916</v>
      </c>
      <c r="H28" s="864">
        <v>0</v>
      </c>
    </row>
    <row r="29" spans="1:8" x14ac:dyDescent="0.2">
      <c r="A29" s="443">
        <v>20</v>
      </c>
      <c r="B29" s="458" t="s">
        <v>54</v>
      </c>
      <c r="C29" s="459" t="s">
        <v>55</v>
      </c>
      <c r="D29" s="864">
        <f t="shared" si="1"/>
        <v>8801</v>
      </c>
      <c r="E29" s="864">
        <v>0</v>
      </c>
      <c r="F29" s="864">
        <v>1940</v>
      </c>
      <c r="G29" s="864">
        <v>6861</v>
      </c>
      <c r="H29" s="864">
        <v>0</v>
      </c>
    </row>
    <row r="30" spans="1:8" x14ac:dyDescent="0.2">
      <c r="A30" s="2">
        <v>21</v>
      </c>
      <c r="B30" s="458" t="s">
        <v>56</v>
      </c>
      <c r="C30" s="459" t="s">
        <v>57</v>
      </c>
      <c r="D30" s="864">
        <f t="shared" si="1"/>
        <v>46053</v>
      </c>
      <c r="E30" s="864">
        <v>0</v>
      </c>
      <c r="F30" s="864">
        <v>14077</v>
      </c>
      <c r="G30" s="864">
        <v>31976</v>
      </c>
      <c r="H30" s="864">
        <v>0</v>
      </c>
    </row>
    <row r="31" spans="1:8" x14ac:dyDescent="0.2">
      <c r="A31" s="443">
        <v>22</v>
      </c>
      <c r="B31" s="458" t="s">
        <v>58</v>
      </c>
      <c r="C31" s="459" t="s">
        <v>59</v>
      </c>
      <c r="D31" s="864">
        <f t="shared" si="1"/>
        <v>43232</v>
      </c>
      <c r="E31" s="864">
        <v>0</v>
      </c>
      <c r="F31" s="864">
        <v>6371</v>
      </c>
      <c r="G31" s="864">
        <v>27695</v>
      </c>
      <c r="H31" s="864">
        <v>9166</v>
      </c>
    </row>
    <row r="32" spans="1:8" x14ac:dyDescent="0.2">
      <c r="A32" s="2">
        <v>23</v>
      </c>
      <c r="B32" s="461" t="s">
        <v>60</v>
      </c>
      <c r="C32" s="462" t="s">
        <v>61</v>
      </c>
      <c r="D32" s="864">
        <f t="shared" si="1"/>
        <v>6367</v>
      </c>
      <c r="E32" s="864">
        <v>0</v>
      </c>
      <c r="F32" s="864">
        <v>1318</v>
      </c>
      <c r="G32" s="864">
        <v>5049</v>
      </c>
      <c r="H32" s="864">
        <v>0</v>
      </c>
    </row>
    <row r="33" spans="1:8" x14ac:dyDescent="0.2">
      <c r="A33" s="443">
        <v>24</v>
      </c>
      <c r="B33" s="461" t="s">
        <v>62</v>
      </c>
      <c r="C33" s="462" t="s">
        <v>63</v>
      </c>
      <c r="D33" s="864">
        <f t="shared" si="1"/>
        <v>0</v>
      </c>
      <c r="E33" s="864">
        <v>0</v>
      </c>
      <c r="F33" s="864">
        <v>0</v>
      </c>
      <c r="G33" s="864">
        <v>0</v>
      </c>
      <c r="H33" s="864">
        <v>0</v>
      </c>
    </row>
    <row r="34" spans="1:8" ht="24" x14ac:dyDescent="0.2">
      <c r="A34" s="2">
        <v>25</v>
      </c>
      <c r="B34" s="461" t="s">
        <v>64</v>
      </c>
      <c r="C34" s="462" t="s">
        <v>65</v>
      </c>
      <c r="D34" s="864">
        <f t="shared" si="1"/>
        <v>0</v>
      </c>
      <c r="E34" s="864">
        <v>0</v>
      </c>
      <c r="F34" s="864">
        <v>0</v>
      </c>
      <c r="G34" s="864">
        <v>0</v>
      </c>
      <c r="H34" s="864">
        <v>0</v>
      </c>
    </row>
    <row r="35" spans="1:8" x14ac:dyDescent="0.2">
      <c r="A35" s="443">
        <v>26</v>
      </c>
      <c r="B35" s="458" t="s">
        <v>66</v>
      </c>
      <c r="C35" s="69" t="s">
        <v>67</v>
      </c>
      <c r="D35" s="864">
        <f t="shared" si="1"/>
        <v>69520</v>
      </c>
      <c r="E35" s="864">
        <v>0</v>
      </c>
      <c r="F35" s="864">
        <v>17154</v>
      </c>
      <c r="G35" s="864">
        <v>32149</v>
      </c>
      <c r="H35" s="864">
        <v>20217</v>
      </c>
    </row>
    <row r="36" spans="1:8" x14ac:dyDescent="0.2">
      <c r="A36" s="2">
        <v>27</v>
      </c>
      <c r="B36" s="461" t="s">
        <v>68</v>
      </c>
      <c r="C36" s="462" t="s">
        <v>69</v>
      </c>
      <c r="D36" s="864">
        <f t="shared" si="1"/>
        <v>18256</v>
      </c>
      <c r="E36" s="864">
        <v>0</v>
      </c>
      <c r="F36" s="864">
        <v>6354</v>
      </c>
      <c r="G36" s="864">
        <v>11902</v>
      </c>
      <c r="H36" s="864">
        <v>0</v>
      </c>
    </row>
    <row r="37" spans="1:8" x14ac:dyDescent="0.2">
      <c r="A37" s="443">
        <v>28</v>
      </c>
      <c r="B37" s="461" t="s">
        <v>70</v>
      </c>
      <c r="C37" s="462" t="s">
        <v>71</v>
      </c>
      <c r="D37" s="864">
        <f t="shared" si="1"/>
        <v>64159</v>
      </c>
      <c r="E37" s="864">
        <v>0</v>
      </c>
      <c r="F37" s="864">
        <v>1224</v>
      </c>
      <c r="G37" s="864">
        <v>56878</v>
      </c>
      <c r="H37" s="864">
        <v>6057</v>
      </c>
    </row>
    <row r="38" spans="1:8" x14ac:dyDescent="0.2">
      <c r="A38" s="2">
        <v>29</v>
      </c>
      <c r="B38" s="460" t="s">
        <v>72</v>
      </c>
      <c r="C38" s="69" t="s">
        <v>73</v>
      </c>
      <c r="D38" s="864">
        <f t="shared" si="1"/>
        <v>0</v>
      </c>
      <c r="E38" s="864">
        <v>0</v>
      </c>
      <c r="F38" s="864">
        <v>0</v>
      </c>
      <c r="G38" s="864">
        <v>0</v>
      </c>
      <c r="H38" s="864">
        <v>0</v>
      </c>
    </row>
    <row r="39" spans="1:8" x14ac:dyDescent="0.2">
      <c r="A39" s="443">
        <v>30</v>
      </c>
      <c r="B39" s="458" t="s">
        <v>74</v>
      </c>
      <c r="C39" s="459" t="s">
        <v>357</v>
      </c>
      <c r="D39" s="864">
        <f t="shared" si="1"/>
        <v>0</v>
      </c>
      <c r="E39" s="864">
        <v>0</v>
      </c>
      <c r="F39" s="864">
        <v>0</v>
      </c>
      <c r="G39" s="864">
        <v>0</v>
      </c>
      <c r="H39" s="864">
        <v>0</v>
      </c>
    </row>
    <row r="40" spans="1:8" ht="24" x14ac:dyDescent="0.2">
      <c r="A40" s="2">
        <v>31</v>
      </c>
      <c r="B40" s="461" t="s">
        <v>75</v>
      </c>
      <c r="C40" s="462" t="s">
        <v>76</v>
      </c>
      <c r="D40" s="864">
        <f t="shared" si="1"/>
        <v>1211</v>
      </c>
      <c r="E40" s="864">
        <v>0</v>
      </c>
      <c r="F40" s="864">
        <v>220</v>
      </c>
      <c r="G40" s="864">
        <v>991</v>
      </c>
      <c r="H40" s="864">
        <v>0</v>
      </c>
    </row>
    <row r="41" spans="1:8" x14ac:dyDescent="0.2">
      <c r="A41" s="443">
        <v>32</v>
      </c>
      <c r="B41" s="460" t="s">
        <v>77</v>
      </c>
      <c r="C41" s="459" t="s">
        <v>78</v>
      </c>
      <c r="D41" s="864">
        <f t="shared" si="1"/>
        <v>64975</v>
      </c>
      <c r="E41" s="864">
        <v>0</v>
      </c>
      <c r="F41" s="864">
        <v>14276</v>
      </c>
      <c r="G41" s="864">
        <v>42695</v>
      </c>
      <c r="H41" s="864">
        <v>8004</v>
      </c>
    </row>
    <row r="42" spans="1:8" x14ac:dyDescent="0.2">
      <c r="A42" s="2">
        <v>33</v>
      </c>
      <c r="B42" s="463" t="s">
        <v>79</v>
      </c>
      <c r="C42" s="69" t="s">
        <v>80</v>
      </c>
      <c r="D42" s="864">
        <f t="shared" si="1"/>
        <v>76579</v>
      </c>
      <c r="E42" s="864">
        <v>0</v>
      </c>
      <c r="F42" s="864">
        <v>14000</v>
      </c>
      <c r="G42" s="864">
        <v>48765</v>
      </c>
      <c r="H42" s="864">
        <v>13814</v>
      </c>
    </row>
    <row r="43" spans="1:8" x14ac:dyDescent="0.2">
      <c r="A43" s="443">
        <v>34</v>
      </c>
      <c r="B43" s="460" t="s">
        <v>81</v>
      </c>
      <c r="C43" s="459" t="s">
        <v>82</v>
      </c>
      <c r="D43" s="864">
        <f t="shared" si="1"/>
        <v>14944</v>
      </c>
      <c r="E43" s="864">
        <v>0</v>
      </c>
      <c r="F43" s="864">
        <v>5310</v>
      </c>
      <c r="G43" s="864">
        <v>9634</v>
      </c>
      <c r="H43" s="864">
        <v>0</v>
      </c>
    </row>
    <row r="44" spans="1:8" x14ac:dyDescent="0.2">
      <c r="A44" s="2">
        <v>35</v>
      </c>
      <c r="B44" s="461" t="s">
        <v>83</v>
      </c>
      <c r="C44" s="462" t="s">
        <v>84</v>
      </c>
      <c r="D44" s="864">
        <f t="shared" si="1"/>
        <v>42168</v>
      </c>
      <c r="E44" s="864">
        <v>0</v>
      </c>
      <c r="F44" s="864">
        <v>8594</v>
      </c>
      <c r="G44" s="864">
        <v>28749</v>
      </c>
      <c r="H44" s="864">
        <v>4825</v>
      </c>
    </row>
    <row r="45" spans="1:8" x14ac:dyDescent="0.2">
      <c r="A45" s="443">
        <v>36</v>
      </c>
      <c r="B45" s="460" t="s">
        <v>85</v>
      </c>
      <c r="C45" s="459" t="s">
        <v>86</v>
      </c>
      <c r="D45" s="864">
        <f t="shared" si="1"/>
        <v>11943</v>
      </c>
      <c r="E45" s="864">
        <v>0</v>
      </c>
      <c r="F45" s="864">
        <v>2677</v>
      </c>
      <c r="G45" s="864">
        <v>9266</v>
      </c>
      <c r="H45" s="864">
        <v>0</v>
      </c>
    </row>
    <row r="46" spans="1:8" x14ac:dyDescent="0.2">
      <c r="A46" s="2">
        <v>37</v>
      </c>
      <c r="B46" s="458" t="s">
        <v>87</v>
      </c>
      <c r="C46" s="459" t="s">
        <v>88</v>
      </c>
      <c r="D46" s="864">
        <f t="shared" si="1"/>
        <v>42021</v>
      </c>
      <c r="E46" s="864">
        <v>0</v>
      </c>
      <c r="F46" s="864">
        <v>2285</v>
      </c>
      <c r="G46" s="864">
        <v>39736</v>
      </c>
      <c r="H46" s="864">
        <v>0</v>
      </c>
    </row>
    <row r="47" spans="1:8" x14ac:dyDescent="0.2">
      <c r="A47" s="443">
        <v>38</v>
      </c>
      <c r="B47" s="449" t="s">
        <v>89</v>
      </c>
      <c r="C47" s="450" t="s">
        <v>90</v>
      </c>
      <c r="D47" s="864">
        <f t="shared" si="1"/>
        <v>19016</v>
      </c>
      <c r="E47" s="864">
        <v>0</v>
      </c>
      <c r="F47" s="864">
        <v>2922</v>
      </c>
      <c r="G47" s="864">
        <v>16094</v>
      </c>
      <c r="H47" s="864">
        <v>0</v>
      </c>
    </row>
    <row r="48" spans="1:8" x14ac:dyDescent="0.2">
      <c r="A48" s="2">
        <v>39</v>
      </c>
      <c r="B48" s="458" t="s">
        <v>91</v>
      </c>
      <c r="C48" s="459" t="s">
        <v>92</v>
      </c>
      <c r="D48" s="864">
        <f t="shared" si="1"/>
        <v>12114</v>
      </c>
      <c r="E48" s="864">
        <v>0</v>
      </c>
      <c r="F48" s="864">
        <v>0</v>
      </c>
      <c r="G48" s="864">
        <v>12114</v>
      </c>
      <c r="H48" s="864">
        <v>0</v>
      </c>
    </row>
    <row r="49" spans="1:8" x14ac:dyDescent="0.2">
      <c r="A49" s="443">
        <v>40</v>
      </c>
      <c r="B49" s="463" t="s">
        <v>93</v>
      </c>
      <c r="C49" s="69" t="s">
        <v>94</v>
      </c>
      <c r="D49" s="864">
        <f t="shared" si="1"/>
        <v>16396</v>
      </c>
      <c r="E49" s="864">
        <v>0</v>
      </c>
      <c r="F49" s="864">
        <v>1622</v>
      </c>
      <c r="G49" s="864">
        <v>14774</v>
      </c>
      <c r="H49" s="864">
        <v>0</v>
      </c>
    </row>
    <row r="50" spans="1:8" x14ac:dyDescent="0.2">
      <c r="A50" s="2">
        <v>41</v>
      </c>
      <c r="B50" s="461" t="s">
        <v>95</v>
      </c>
      <c r="C50" s="462" t="s">
        <v>96</v>
      </c>
      <c r="D50" s="864">
        <f t="shared" si="1"/>
        <v>7023</v>
      </c>
      <c r="E50" s="864">
        <v>0</v>
      </c>
      <c r="F50" s="864">
        <v>1688</v>
      </c>
      <c r="G50" s="864">
        <v>5335</v>
      </c>
      <c r="H50" s="864">
        <v>0</v>
      </c>
    </row>
    <row r="51" spans="1:8" x14ac:dyDescent="0.2">
      <c r="A51" s="443">
        <v>42</v>
      </c>
      <c r="B51" s="460" t="s">
        <v>97</v>
      </c>
      <c r="C51" s="459" t="s">
        <v>98</v>
      </c>
      <c r="D51" s="864">
        <f t="shared" si="1"/>
        <v>3150</v>
      </c>
      <c r="E51" s="864">
        <v>0</v>
      </c>
      <c r="F51" s="864">
        <v>20</v>
      </c>
      <c r="G51" s="864">
        <v>3130</v>
      </c>
      <c r="H51" s="864">
        <v>0</v>
      </c>
    </row>
    <row r="52" spans="1:8" x14ac:dyDescent="0.2">
      <c r="A52" s="2">
        <v>43</v>
      </c>
      <c r="B52" s="461" t="s">
        <v>99</v>
      </c>
      <c r="C52" s="462" t="s">
        <v>100</v>
      </c>
      <c r="D52" s="864">
        <f t="shared" si="1"/>
        <v>82024</v>
      </c>
      <c r="E52" s="864">
        <v>0</v>
      </c>
      <c r="F52" s="864">
        <v>12926</v>
      </c>
      <c r="G52" s="864">
        <v>47120</v>
      </c>
      <c r="H52" s="864">
        <v>21978</v>
      </c>
    </row>
    <row r="53" spans="1:8" x14ac:dyDescent="0.2">
      <c r="A53" s="443">
        <v>44</v>
      </c>
      <c r="B53" s="458" t="s">
        <v>101</v>
      </c>
      <c r="C53" s="459" t="s">
        <v>102</v>
      </c>
      <c r="D53" s="864">
        <f t="shared" si="1"/>
        <v>9407</v>
      </c>
      <c r="E53" s="864">
        <v>0</v>
      </c>
      <c r="F53" s="864">
        <v>1790</v>
      </c>
      <c r="G53" s="864">
        <v>7617</v>
      </c>
      <c r="H53" s="864">
        <v>0</v>
      </c>
    </row>
    <row r="54" spans="1:8" x14ac:dyDescent="0.2">
      <c r="A54" s="2">
        <v>45</v>
      </c>
      <c r="B54" s="458" t="s">
        <v>103</v>
      </c>
      <c r="C54" s="459" t="s">
        <v>104</v>
      </c>
      <c r="D54" s="864">
        <f t="shared" si="1"/>
        <v>55068</v>
      </c>
      <c r="E54" s="864">
        <v>0</v>
      </c>
      <c r="F54" s="864">
        <v>12396</v>
      </c>
      <c r="G54" s="864">
        <v>42672</v>
      </c>
      <c r="H54" s="864">
        <v>0</v>
      </c>
    </row>
    <row r="55" spans="1:8" x14ac:dyDescent="0.2">
      <c r="A55" s="443">
        <v>46</v>
      </c>
      <c r="B55" s="461" t="s">
        <v>105</v>
      </c>
      <c r="C55" s="462" t="s">
        <v>106</v>
      </c>
      <c r="D55" s="864">
        <f t="shared" si="1"/>
        <v>12112</v>
      </c>
      <c r="E55" s="864">
        <v>0</v>
      </c>
      <c r="F55" s="864">
        <v>3700</v>
      </c>
      <c r="G55" s="864">
        <v>8412</v>
      </c>
      <c r="H55" s="864">
        <v>0</v>
      </c>
    </row>
    <row r="56" spans="1:8" x14ac:dyDescent="0.2">
      <c r="A56" s="2">
        <v>47</v>
      </c>
      <c r="B56" s="461" t="s">
        <v>107</v>
      </c>
      <c r="C56" s="462" t="s">
        <v>108</v>
      </c>
      <c r="D56" s="864">
        <f t="shared" si="1"/>
        <v>21540</v>
      </c>
      <c r="E56" s="864">
        <v>0</v>
      </c>
      <c r="F56" s="864">
        <v>8359</v>
      </c>
      <c r="G56" s="864">
        <v>13181</v>
      </c>
      <c r="H56" s="864">
        <v>0</v>
      </c>
    </row>
    <row r="57" spans="1:8" x14ac:dyDescent="0.2">
      <c r="A57" s="443">
        <v>48</v>
      </c>
      <c r="B57" s="460" t="s">
        <v>109</v>
      </c>
      <c r="C57" s="459" t="s">
        <v>110</v>
      </c>
      <c r="D57" s="864">
        <f t="shared" si="1"/>
        <v>12282</v>
      </c>
      <c r="E57" s="864">
        <v>0</v>
      </c>
      <c r="F57" s="864">
        <v>952</v>
      </c>
      <c r="G57" s="864">
        <v>11330</v>
      </c>
      <c r="H57" s="864">
        <v>0</v>
      </c>
    </row>
    <row r="58" spans="1:8" x14ac:dyDescent="0.2">
      <c r="A58" s="2">
        <v>49</v>
      </c>
      <c r="B58" s="461" t="s">
        <v>111</v>
      </c>
      <c r="C58" s="462" t="s">
        <v>112</v>
      </c>
      <c r="D58" s="864">
        <f t="shared" si="1"/>
        <v>9273</v>
      </c>
      <c r="E58" s="864">
        <v>0</v>
      </c>
      <c r="F58" s="864">
        <v>1984</v>
      </c>
      <c r="G58" s="864">
        <v>7289</v>
      </c>
      <c r="H58" s="864">
        <v>0</v>
      </c>
    </row>
    <row r="59" spans="1:8" x14ac:dyDescent="0.2">
      <c r="A59" s="443">
        <v>50</v>
      </c>
      <c r="B59" s="460" t="s">
        <v>113</v>
      </c>
      <c r="C59" s="459" t="s">
        <v>114</v>
      </c>
      <c r="D59" s="864">
        <f t="shared" si="1"/>
        <v>12071</v>
      </c>
      <c r="E59" s="864">
        <v>0</v>
      </c>
      <c r="F59" s="864">
        <v>4044</v>
      </c>
      <c r="G59" s="864">
        <v>8027</v>
      </c>
      <c r="H59" s="864">
        <v>0</v>
      </c>
    </row>
    <row r="60" spans="1:8" x14ac:dyDescent="0.2">
      <c r="A60" s="2">
        <v>51</v>
      </c>
      <c r="B60" s="461" t="s">
        <v>115</v>
      </c>
      <c r="C60" s="462" t="s">
        <v>116</v>
      </c>
      <c r="D60" s="864">
        <f t="shared" si="1"/>
        <v>24077</v>
      </c>
      <c r="E60" s="864">
        <v>0</v>
      </c>
      <c r="F60" s="864">
        <v>6958</v>
      </c>
      <c r="G60" s="864">
        <v>17119</v>
      </c>
      <c r="H60" s="864">
        <v>0</v>
      </c>
    </row>
    <row r="61" spans="1:8" x14ac:dyDescent="0.2">
      <c r="A61" s="443">
        <v>52</v>
      </c>
      <c r="B61" s="461" t="s">
        <v>117</v>
      </c>
      <c r="C61" s="462" t="s">
        <v>118</v>
      </c>
      <c r="D61" s="864">
        <f t="shared" si="1"/>
        <v>66434</v>
      </c>
      <c r="E61" s="864">
        <v>0</v>
      </c>
      <c r="F61" s="864">
        <v>15612</v>
      </c>
      <c r="G61" s="864">
        <v>47755</v>
      </c>
      <c r="H61" s="864">
        <v>3067</v>
      </c>
    </row>
    <row r="62" spans="1:8" x14ac:dyDescent="0.2">
      <c r="A62" s="2">
        <v>53</v>
      </c>
      <c r="B62" s="461" t="s">
        <v>119</v>
      </c>
      <c r="C62" s="462" t="s">
        <v>120</v>
      </c>
      <c r="D62" s="864">
        <f t="shared" si="1"/>
        <v>15636</v>
      </c>
      <c r="E62" s="864">
        <v>0</v>
      </c>
      <c r="F62" s="864">
        <v>5277</v>
      </c>
      <c r="G62" s="864">
        <v>10359</v>
      </c>
      <c r="H62" s="864">
        <v>0</v>
      </c>
    </row>
    <row r="63" spans="1:8" x14ac:dyDescent="0.2">
      <c r="A63" s="443">
        <v>54</v>
      </c>
      <c r="B63" s="461" t="s">
        <v>121</v>
      </c>
      <c r="C63" s="462" t="s">
        <v>122</v>
      </c>
      <c r="D63" s="864">
        <f t="shared" si="1"/>
        <v>0</v>
      </c>
      <c r="E63" s="864">
        <v>0</v>
      </c>
      <c r="F63" s="864">
        <v>0</v>
      </c>
      <c r="G63" s="864">
        <v>0</v>
      </c>
      <c r="H63" s="864">
        <v>0</v>
      </c>
    </row>
    <row r="64" spans="1:8" x14ac:dyDescent="0.2">
      <c r="A64" s="2">
        <v>55</v>
      </c>
      <c r="B64" s="461" t="s">
        <v>123</v>
      </c>
      <c r="C64" s="462" t="s">
        <v>124</v>
      </c>
      <c r="D64" s="864">
        <f t="shared" si="1"/>
        <v>0</v>
      </c>
      <c r="E64" s="864">
        <v>0</v>
      </c>
      <c r="F64" s="864">
        <v>0</v>
      </c>
      <c r="G64" s="864">
        <v>0</v>
      </c>
      <c r="H64" s="864">
        <v>0</v>
      </c>
    </row>
    <row r="65" spans="1:8" ht="24" x14ac:dyDescent="0.2">
      <c r="A65" s="443">
        <v>56</v>
      </c>
      <c r="B65" s="464" t="s">
        <v>125</v>
      </c>
      <c r="C65" s="69" t="s">
        <v>126</v>
      </c>
      <c r="D65" s="864">
        <f t="shared" si="1"/>
        <v>0</v>
      </c>
      <c r="E65" s="864">
        <v>0</v>
      </c>
      <c r="F65" s="864">
        <v>0</v>
      </c>
      <c r="G65" s="864">
        <v>0</v>
      </c>
      <c r="H65" s="864">
        <v>0</v>
      </c>
    </row>
    <row r="66" spans="1:8" ht="24" x14ac:dyDescent="0.2">
      <c r="A66" s="2">
        <v>57</v>
      </c>
      <c r="B66" s="461" t="s">
        <v>127</v>
      </c>
      <c r="C66" s="462" t="s">
        <v>128</v>
      </c>
      <c r="D66" s="864">
        <f t="shared" si="1"/>
        <v>70813</v>
      </c>
      <c r="E66" s="864">
        <v>0</v>
      </c>
      <c r="F66" s="864">
        <v>3631</v>
      </c>
      <c r="G66" s="864">
        <v>67182</v>
      </c>
      <c r="H66" s="864">
        <v>0</v>
      </c>
    </row>
    <row r="67" spans="1:8" ht="24" x14ac:dyDescent="0.2">
      <c r="A67" s="443">
        <v>58</v>
      </c>
      <c r="B67" s="460" t="s">
        <v>129</v>
      </c>
      <c r="C67" s="462" t="s">
        <v>130</v>
      </c>
      <c r="D67" s="864">
        <f t="shared" si="1"/>
        <v>48850</v>
      </c>
      <c r="E67" s="864">
        <v>0</v>
      </c>
      <c r="F67" s="864">
        <v>1020</v>
      </c>
      <c r="G67" s="864">
        <v>47830</v>
      </c>
      <c r="H67" s="864">
        <v>0</v>
      </c>
    </row>
    <row r="68" spans="1:8" ht="24" x14ac:dyDescent="0.2">
      <c r="A68" s="2">
        <v>59</v>
      </c>
      <c r="B68" s="463" t="s">
        <v>131</v>
      </c>
      <c r="C68" s="69" t="s">
        <v>132</v>
      </c>
      <c r="D68" s="864">
        <f t="shared" si="1"/>
        <v>61058</v>
      </c>
      <c r="E68" s="864">
        <v>0</v>
      </c>
      <c r="F68" s="864">
        <v>360</v>
      </c>
      <c r="G68" s="864">
        <v>60698</v>
      </c>
      <c r="H68" s="864">
        <v>0</v>
      </c>
    </row>
    <row r="69" spans="1:8" ht="24" x14ac:dyDescent="0.2">
      <c r="A69" s="443">
        <v>60</v>
      </c>
      <c r="B69" s="460" t="s">
        <v>133</v>
      </c>
      <c r="C69" s="462" t="s">
        <v>134</v>
      </c>
      <c r="D69" s="864">
        <f t="shared" si="1"/>
        <v>110392</v>
      </c>
      <c r="E69" s="864">
        <v>0</v>
      </c>
      <c r="F69" s="864">
        <v>12352</v>
      </c>
      <c r="G69" s="864">
        <v>88607</v>
      </c>
      <c r="H69" s="864">
        <v>9433</v>
      </c>
    </row>
    <row r="70" spans="1:8" ht="24" x14ac:dyDescent="0.2">
      <c r="A70" s="2">
        <v>61</v>
      </c>
      <c r="B70" s="461" t="s">
        <v>135</v>
      </c>
      <c r="C70" s="462" t="s">
        <v>136</v>
      </c>
      <c r="D70" s="864">
        <f t="shared" si="1"/>
        <v>24449</v>
      </c>
      <c r="E70" s="864">
        <v>0</v>
      </c>
      <c r="F70" s="864">
        <v>3110</v>
      </c>
      <c r="G70" s="864">
        <v>21339</v>
      </c>
      <c r="H70" s="864">
        <v>0</v>
      </c>
    </row>
    <row r="71" spans="1:8" ht="36" x14ac:dyDescent="0.2">
      <c r="A71" s="443">
        <v>62</v>
      </c>
      <c r="B71" s="458" t="s">
        <v>137</v>
      </c>
      <c r="C71" s="462" t="s">
        <v>138</v>
      </c>
      <c r="D71" s="864">
        <f t="shared" si="1"/>
        <v>0</v>
      </c>
      <c r="E71" s="864">
        <v>0</v>
      </c>
      <c r="F71" s="864">
        <v>0</v>
      </c>
      <c r="G71" s="864">
        <v>0</v>
      </c>
      <c r="H71" s="864">
        <v>0</v>
      </c>
    </row>
    <row r="72" spans="1:8" ht="36" x14ac:dyDescent="0.2">
      <c r="A72" s="2">
        <v>63</v>
      </c>
      <c r="B72" s="458" t="s">
        <v>139</v>
      </c>
      <c r="C72" s="462" t="s">
        <v>140</v>
      </c>
      <c r="D72" s="864">
        <f t="shared" si="1"/>
        <v>0</v>
      </c>
      <c r="E72" s="864">
        <v>0</v>
      </c>
      <c r="F72" s="864">
        <v>0</v>
      </c>
      <c r="G72" s="864">
        <v>0</v>
      </c>
      <c r="H72" s="864">
        <v>0</v>
      </c>
    </row>
    <row r="73" spans="1:8" x14ac:dyDescent="0.2">
      <c r="A73" s="443">
        <v>64</v>
      </c>
      <c r="B73" s="460" t="s">
        <v>141</v>
      </c>
      <c r="C73" s="462" t="s">
        <v>142</v>
      </c>
      <c r="D73" s="864">
        <f t="shared" si="1"/>
        <v>10468</v>
      </c>
      <c r="E73" s="864">
        <v>0</v>
      </c>
      <c r="F73" s="864">
        <v>1644</v>
      </c>
      <c r="G73" s="864">
        <v>8824</v>
      </c>
      <c r="H73" s="864">
        <v>0</v>
      </c>
    </row>
    <row r="74" spans="1:8" x14ac:dyDescent="0.2">
      <c r="A74" s="2">
        <v>65</v>
      </c>
      <c r="B74" s="460" t="s">
        <v>143</v>
      </c>
      <c r="C74" s="459" t="s">
        <v>144</v>
      </c>
      <c r="D74" s="864">
        <f t="shared" si="1"/>
        <v>16915</v>
      </c>
      <c r="E74" s="864">
        <v>0</v>
      </c>
      <c r="F74" s="864">
        <v>2658</v>
      </c>
      <c r="G74" s="864">
        <v>3894</v>
      </c>
      <c r="H74" s="864">
        <v>10363</v>
      </c>
    </row>
    <row r="75" spans="1:8" x14ac:dyDescent="0.2">
      <c r="A75" s="443">
        <v>66</v>
      </c>
      <c r="B75" s="460" t="s">
        <v>145</v>
      </c>
      <c r="C75" s="462" t="s">
        <v>146</v>
      </c>
      <c r="D75" s="864">
        <f t="shared" si="1"/>
        <v>10620</v>
      </c>
      <c r="E75" s="864">
        <v>0</v>
      </c>
      <c r="F75" s="864">
        <v>7205</v>
      </c>
      <c r="G75" s="864">
        <v>3415</v>
      </c>
      <c r="H75" s="864">
        <v>0</v>
      </c>
    </row>
    <row r="76" spans="1:8" ht="24" x14ac:dyDescent="0.2">
      <c r="A76" s="2">
        <v>67</v>
      </c>
      <c r="B76" s="460" t="s">
        <v>147</v>
      </c>
      <c r="C76" s="462" t="s">
        <v>148</v>
      </c>
      <c r="D76" s="864">
        <f t="shared" ref="D76:D139" si="2">E76+F76+G76+H76</f>
        <v>300</v>
      </c>
      <c r="E76" s="864">
        <v>300</v>
      </c>
      <c r="F76" s="864">
        <v>0</v>
      </c>
      <c r="G76" s="864">
        <v>0</v>
      </c>
      <c r="H76" s="864">
        <v>0</v>
      </c>
    </row>
    <row r="77" spans="1:8" ht="24" x14ac:dyDescent="0.2">
      <c r="A77" s="443">
        <v>68</v>
      </c>
      <c r="B77" s="458" t="s">
        <v>149</v>
      </c>
      <c r="C77" s="462" t="s">
        <v>150</v>
      </c>
      <c r="D77" s="864">
        <f t="shared" si="2"/>
        <v>100</v>
      </c>
      <c r="E77" s="864">
        <v>100</v>
      </c>
      <c r="F77" s="864">
        <v>0</v>
      </c>
      <c r="G77" s="864">
        <v>0</v>
      </c>
      <c r="H77" s="864">
        <v>0</v>
      </c>
    </row>
    <row r="78" spans="1:8" ht="24" x14ac:dyDescent="0.2">
      <c r="A78" s="2">
        <v>69</v>
      </c>
      <c r="B78" s="460" t="s">
        <v>151</v>
      </c>
      <c r="C78" s="462" t="s">
        <v>152</v>
      </c>
      <c r="D78" s="864">
        <f t="shared" si="2"/>
        <v>50</v>
      </c>
      <c r="E78" s="864">
        <v>50</v>
      </c>
      <c r="F78" s="864">
        <v>0</v>
      </c>
      <c r="G78" s="864">
        <v>0</v>
      </c>
      <c r="H78" s="864">
        <v>0</v>
      </c>
    </row>
    <row r="79" spans="1:8" ht="24" x14ac:dyDescent="0.2">
      <c r="A79" s="443">
        <v>70</v>
      </c>
      <c r="B79" s="460" t="s">
        <v>153</v>
      </c>
      <c r="C79" s="462" t="s">
        <v>154</v>
      </c>
      <c r="D79" s="864">
        <f t="shared" si="2"/>
        <v>290</v>
      </c>
      <c r="E79" s="864">
        <v>290</v>
      </c>
      <c r="F79" s="864">
        <v>0</v>
      </c>
      <c r="G79" s="864">
        <v>0</v>
      </c>
      <c r="H79" s="864">
        <v>0</v>
      </c>
    </row>
    <row r="80" spans="1:8" ht="24" x14ac:dyDescent="0.2">
      <c r="A80" s="2">
        <v>71</v>
      </c>
      <c r="B80" s="458" t="s">
        <v>155</v>
      </c>
      <c r="C80" s="462" t="s">
        <v>156</v>
      </c>
      <c r="D80" s="864">
        <f t="shared" si="2"/>
        <v>1600</v>
      </c>
      <c r="E80" s="864">
        <v>1600</v>
      </c>
      <c r="F80" s="864">
        <v>0</v>
      </c>
      <c r="G80" s="864">
        <v>0</v>
      </c>
      <c r="H80" s="864">
        <v>0</v>
      </c>
    </row>
    <row r="81" spans="1:8" ht="24" x14ac:dyDescent="0.2">
      <c r="A81" s="443">
        <v>72</v>
      </c>
      <c r="B81" s="458" t="s">
        <v>157</v>
      </c>
      <c r="C81" s="462" t="s">
        <v>158</v>
      </c>
      <c r="D81" s="864">
        <f t="shared" si="2"/>
        <v>150</v>
      </c>
      <c r="E81" s="864">
        <v>150</v>
      </c>
      <c r="F81" s="864">
        <v>0</v>
      </c>
      <c r="G81" s="864">
        <v>0</v>
      </c>
      <c r="H81" s="864">
        <v>0</v>
      </c>
    </row>
    <row r="82" spans="1:8" ht="24" x14ac:dyDescent="0.2">
      <c r="A82" s="2">
        <v>73</v>
      </c>
      <c r="B82" s="458" t="s">
        <v>159</v>
      </c>
      <c r="C82" s="462" t="s">
        <v>160</v>
      </c>
      <c r="D82" s="864">
        <f t="shared" si="2"/>
        <v>0</v>
      </c>
      <c r="E82" s="864">
        <v>0</v>
      </c>
      <c r="F82" s="864">
        <v>0</v>
      </c>
      <c r="G82" s="864">
        <v>0</v>
      </c>
      <c r="H82" s="864">
        <v>0</v>
      </c>
    </row>
    <row r="83" spans="1:8" ht="24" x14ac:dyDescent="0.2">
      <c r="A83" s="443">
        <v>74</v>
      </c>
      <c r="B83" s="461" t="s">
        <v>161</v>
      </c>
      <c r="C83" s="462" t="s">
        <v>162</v>
      </c>
      <c r="D83" s="864">
        <f t="shared" si="2"/>
        <v>72242</v>
      </c>
      <c r="E83" s="864">
        <v>0</v>
      </c>
      <c r="F83" s="864">
        <v>8645</v>
      </c>
      <c r="G83" s="864">
        <v>54346</v>
      </c>
      <c r="H83" s="864">
        <v>9251</v>
      </c>
    </row>
    <row r="84" spans="1:8" x14ac:dyDescent="0.2">
      <c r="A84" s="2">
        <v>75</v>
      </c>
      <c r="B84" s="458" t="s">
        <v>163</v>
      </c>
      <c r="C84" s="462" t="s">
        <v>164</v>
      </c>
      <c r="D84" s="864">
        <f t="shared" si="2"/>
        <v>39808</v>
      </c>
      <c r="E84" s="864">
        <v>0</v>
      </c>
      <c r="F84" s="864">
        <v>26500</v>
      </c>
      <c r="G84" s="864">
        <v>13308</v>
      </c>
      <c r="H84" s="864">
        <v>0</v>
      </c>
    </row>
    <row r="85" spans="1:8" x14ac:dyDescent="0.2">
      <c r="A85" s="443">
        <v>76</v>
      </c>
      <c r="B85" s="461" t="s">
        <v>165</v>
      </c>
      <c r="C85" s="462" t="s">
        <v>166</v>
      </c>
      <c r="D85" s="864">
        <f t="shared" si="2"/>
        <v>22715</v>
      </c>
      <c r="E85" s="864">
        <v>0</v>
      </c>
      <c r="F85" s="864">
        <v>5411</v>
      </c>
      <c r="G85" s="864">
        <v>8232</v>
      </c>
      <c r="H85" s="864">
        <v>9072</v>
      </c>
    </row>
    <row r="86" spans="1:8" x14ac:dyDescent="0.2">
      <c r="A86" s="2">
        <v>77</v>
      </c>
      <c r="B86" s="463" t="s">
        <v>167</v>
      </c>
      <c r="C86" s="69" t="s">
        <v>168</v>
      </c>
      <c r="D86" s="864">
        <f t="shared" si="2"/>
        <v>1783</v>
      </c>
      <c r="E86" s="864">
        <v>0</v>
      </c>
      <c r="F86" s="864">
        <v>927</v>
      </c>
      <c r="G86" s="864">
        <v>856</v>
      </c>
      <c r="H86" s="864">
        <v>0</v>
      </c>
    </row>
    <row r="87" spans="1:8" x14ac:dyDescent="0.2">
      <c r="A87" s="443">
        <v>78</v>
      </c>
      <c r="B87" s="458" t="s">
        <v>169</v>
      </c>
      <c r="C87" s="462" t="s">
        <v>170</v>
      </c>
      <c r="D87" s="864">
        <f t="shared" si="2"/>
        <v>48834</v>
      </c>
      <c r="E87" s="864">
        <v>0</v>
      </c>
      <c r="F87" s="864">
        <v>12510</v>
      </c>
      <c r="G87" s="864">
        <v>36324</v>
      </c>
      <c r="H87" s="864">
        <v>0</v>
      </c>
    </row>
    <row r="88" spans="1:8" x14ac:dyDescent="0.2">
      <c r="A88" s="2">
        <v>79</v>
      </c>
      <c r="B88" s="463" t="s">
        <v>171</v>
      </c>
      <c r="C88" s="69" t="s">
        <v>172</v>
      </c>
      <c r="D88" s="864">
        <f t="shared" si="2"/>
        <v>41320</v>
      </c>
      <c r="E88" s="864">
        <v>0</v>
      </c>
      <c r="F88" s="864">
        <v>2340</v>
      </c>
      <c r="G88" s="864">
        <v>32873</v>
      </c>
      <c r="H88" s="864">
        <v>6107</v>
      </c>
    </row>
    <row r="89" spans="1:8" x14ac:dyDescent="0.2">
      <c r="A89" s="443">
        <v>80</v>
      </c>
      <c r="B89" s="458" t="s">
        <v>173</v>
      </c>
      <c r="C89" s="462" t="s">
        <v>174</v>
      </c>
      <c r="D89" s="864">
        <f t="shared" si="2"/>
        <v>61357</v>
      </c>
      <c r="E89" s="864">
        <v>0</v>
      </c>
      <c r="F89" s="864">
        <v>8000</v>
      </c>
      <c r="G89" s="864">
        <v>15575</v>
      </c>
      <c r="H89" s="864">
        <v>37782</v>
      </c>
    </row>
    <row r="90" spans="1:8" x14ac:dyDescent="0.2">
      <c r="A90" s="2">
        <v>81</v>
      </c>
      <c r="B90" s="463" t="s">
        <v>175</v>
      </c>
      <c r="C90" s="69" t="s">
        <v>754</v>
      </c>
      <c r="D90" s="864">
        <f t="shared" si="2"/>
        <v>28748</v>
      </c>
      <c r="E90" s="864">
        <v>28748</v>
      </c>
      <c r="F90" s="864">
        <v>0</v>
      </c>
      <c r="G90" s="864">
        <v>0</v>
      </c>
      <c r="H90" s="864">
        <v>0</v>
      </c>
    </row>
    <row r="91" spans="1:8" x14ac:dyDescent="0.2">
      <c r="A91" s="443">
        <v>82</v>
      </c>
      <c r="B91" s="460" t="s">
        <v>177</v>
      </c>
      <c r="C91" s="462" t="s">
        <v>358</v>
      </c>
      <c r="D91" s="864">
        <f t="shared" si="2"/>
        <v>0</v>
      </c>
      <c r="E91" s="864">
        <v>0</v>
      </c>
      <c r="F91" s="864">
        <v>0</v>
      </c>
      <c r="G91" s="864">
        <v>0</v>
      </c>
      <c r="H91" s="864">
        <v>0</v>
      </c>
    </row>
    <row r="92" spans="1:8" ht="48" x14ac:dyDescent="0.2">
      <c r="A92" s="988">
        <v>83</v>
      </c>
      <c r="B92" s="1014" t="s">
        <v>178</v>
      </c>
      <c r="C92" s="1" t="s">
        <v>752</v>
      </c>
      <c r="D92" s="864">
        <f t="shared" si="2"/>
        <v>1186</v>
      </c>
      <c r="E92" s="864">
        <v>0</v>
      </c>
      <c r="F92" s="864">
        <v>0</v>
      </c>
      <c r="G92" s="864">
        <v>1186</v>
      </c>
      <c r="H92" s="864">
        <v>0</v>
      </c>
    </row>
    <row r="93" spans="1:8" ht="24" x14ac:dyDescent="0.2">
      <c r="A93" s="989"/>
      <c r="B93" s="1015"/>
      <c r="C93" s="462" t="s">
        <v>180</v>
      </c>
      <c r="D93" s="864">
        <f t="shared" si="2"/>
        <v>0</v>
      </c>
      <c r="E93" s="864">
        <v>0</v>
      </c>
      <c r="F93" s="864">
        <v>0</v>
      </c>
      <c r="G93" s="864">
        <v>0</v>
      </c>
      <c r="H93" s="864">
        <v>0</v>
      </c>
    </row>
    <row r="94" spans="1:8" ht="48" x14ac:dyDescent="0.2">
      <c r="A94" s="990"/>
      <c r="B94" s="1016"/>
      <c r="C94" s="384" t="s">
        <v>510</v>
      </c>
      <c r="D94" s="864">
        <f t="shared" si="2"/>
        <v>0</v>
      </c>
      <c r="E94" s="864">
        <v>0</v>
      </c>
      <c r="F94" s="864">
        <v>0</v>
      </c>
      <c r="G94" s="864">
        <v>0</v>
      </c>
      <c r="H94" s="864">
        <v>0</v>
      </c>
    </row>
    <row r="95" spans="1:8" ht="24" x14ac:dyDescent="0.2">
      <c r="A95" s="443">
        <v>84</v>
      </c>
      <c r="B95" s="460" t="s">
        <v>181</v>
      </c>
      <c r="C95" s="459" t="s">
        <v>182</v>
      </c>
      <c r="D95" s="864">
        <f t="shared" si="2"/>
        <v>0</v>
      </c>
      <c r="E95" s="864">
        <v>0</v>
      </c>
      <c r="F95" s="864">
        <v>0</v>
      </c>
      <c r="G95" s="864">
        <v>0</v>
      </c>
      <c r="H95" s="864">
        <v>0</v>
      </c>
    </row>
    <row r="96" spans="1:8" x14ac:dyDescent="0.2">
      <c r="A96" s="443">
        <v>85</v>
      </c>
      <c r="B96" s="460" t="s">
        <v>183</v>
      </c>
      <c r="C96" s="69" t="s">
        <v>184</v>
      </c>
      <c r="D96" s="864">
        <f t="shared" si="2"/>
        <v>3163</v>
      </c>
      <c r="E96" s="864">
        <v>0</v>
      </c>
      <c r="F96" s="864">
        <v>300</v>
      </c>
      <c r="G96" s="864">
        <v>2863</v>
      </c>
      <c r="H96" s="864">
        <v>0</v>
      </c>
    </row>
    <row r="97" spans="1:8" x14ac:dyDescent="0.2">
      <c r="A97" s="443">
        <v>86</v>
      </c>
      <c r="B97" s="461" t="s">
        <v>185</v>
      </c>
      <c r="C97" s="462" t="s">
        <v>186</v>
      </c>
      <c r="D97" s="864">
        <f t="shared" si="2"/>
        <v>3987</v>
      </c>
      <c r="E97" s="864">
        <v>0</v>
      </c>
      <c r="F97" s="864">
        <v>788</v>
      </c>
      <c r="G97" s="864">
        <v>3199</v>
      </c>
      <c r="H97" s="864">
        <v>0</v>
      </c>
    </row>
    <row r="98" spans="1:8" x14ac:dyDescent="0.2">
      <c r="A98" s="443">
        <v>87</v>
      </c>
      <c r="B98" s="460" t="s">
        <v>187</v>
      </c>
      <c r="C98" s="459" t="s">
        <v>188</v>
      </c>
      <c r="D98" s="864">
        <f t="shared" si="2"/>
        <v>8934</v>
      </c>
      <c r="E98" s="864">
        <v>0</v>
      </c>
      <c r="F98" s="864">
        <v>2019</v>
      </c>
      <c r="G98" s="864">
        <v>6915</v>
      </c>
      <c r="H98" s="864">
        <v>0</v>
      </c>
    </row>
    <row r="99" spans="1:8" x14ac:dyDescent="0.2">
      <c r="A99" s="443">
        <v>88</v>
      </c>
      <c r="B99" s="461" t="s">
        <v>189</v>
      </c>
      <c r="C99" s="462" t="s">
        <v>190</v>
      </c>
      <c r="D99" s="864">
        <f t="shared" si="2"/>
        <v>8356</v>
      </c>
      <c r="E99" s="864">
        <v>0</v>
      </c>
      <c r="F99" s="864">
        <v>1368</v>
      </c>
      <c r="G99" s="864">
        <v>6988</v>
      </c>
      <c r="H99" s="864">
        <v>0</v>
      </c>
    </row>
    <row r="100" spans="1:8" x14ac:dyDescent="0.2">
      <c r="A100" s="443">
        <v>89</v>
      </c>
      <c r="B100" s="461" t="s">
        <v>191</v>
      </c>
      <c r="C100" s="462" t="s">
        <v>192</v>
      </c>
      <c r="D100" s="864">
        <f t="shared" si="2"/>
        <v>27763</v>
      </c>
      <c r="E100" s="864">
        <v>0</v>
      </c>
      <c r="F100" s="864">
        <v>6300</v>
      </c>
      <c r="G100" s="864">
        <v>21463</v>
      </c>
      <c r="H100" s="864">
        <v>0</v>
      </c>
    </row>
    <row r="101" spans="1:8" x14ac:dyDescent="0.2">
      <c r="A101" s="443">
        <v>90</v>
      </c>
      <c r="B101" s="460" t="s">
        <v>193</v>
      </c>
      <c r="C101" s="69" t="s">
        <v>194</v>
      </c>
      <c r="D101" s="864">
        <f t="shared" si="2"/>
        <v>11202</v>
      </c>
      <c r="E101" s="864">
        <v>0</v>
      </c>
      <c r="F101" s="864">
        <v>1662</v>
      </c>
      <c r="G101" s="864">
        <v>9540</v>
      </c>
      <c r="H101" s="864">
        <v>0</v>
      </c>
    </row>
    <row r="102" spans="1:8" x14ac:dyDescent="0.2">
      <c r="A102" s="443">
        <v>91</v>
      </c>
      <c r="B102" s="460" t="s">
        <v>195</v>
      </c>
      <c r="C102" s="459" t="s">
        <v>196</v>
      </c>
      <c r="D102" s="864">
        <f t="shared" si="2"/>
        <v>10628</v>
      </c>
      <c r="E102" s="864">
        <v>0</v>
      </c>
      <c r="F102" s="864">
        <v>6541</v>
      </c>
      <c r="G102" s="864">
        <v>4087</v>
      </c>
      <c r="H102" s="864">
        <v>0</v>
      </c>
    </row>
    <row r="103" spans="1:8" x14ac:dyDescent="0.2">
      <c r="A103" s="443">
        <v>92</v>
      </c>
      <c r="B103" s="458" t="s">
        <v>197</v>
      </c>
      <c r="C103" s="459" t="s">
        <v>198</v>
      </c>
      <c r="D103" s="864">
        <f t="shared" si="2"/>
        <v>38906</v>
      </c>
      <c r="E103" s="864">
        <v>0</v>
      </c>
      <c r="F103" s="864">
        <v>2775</v>
      </c>
      <c r="G103" s="864">
        <v>36131</v>
      </c>
      <c r="H103" s="864">
        <v>0</v>
      </c>
    </row>
    <row r="104" spans="1:8" x14ac:dyDescent="0.2">
      <c r="A104" s="443">
        <v>93</v>
      </c>
      <c r="B104" s="458" t="s">
        <v>199</v>
      </c>
      <c r="C104" s="459" t="s">
        <v>200</v>
      </c>
      <c r="D104" s="864">
        <f t="shared" si="2"/>
        <v>25358</v>
      </c>
      <c r="E104" s="864">
        <v>0</v>
      </c>
      <c r="F104" s="864">
        <v>13653</v>
      </c>
      <c r="G104" s="864">
        <v>11705</v>
      </c>
      <c r="H104" s="864">
        <v>0</v>
      </c>
    </row>
    <row r="105" spans="1:8" x14ac:dyDescent="0.2">
      <c r="A105" s="443">
        <v>94</v>
      </c>
      <c r="B105" s="461" t="s">
        <v>201</v>
      </c>
      <c r="C105" s="462" t="s">
        <v>202</v>
      </c>
      <c r="D105" s="864">
        <f t="shared" si="2"/>
        <v>10500</v>
      </c>
      <c r="E105" s="864">
        <v>0</v>
      </c>
      <c r="F105" s="864">
        <v>1400</v>
      </c>
      <c r="G105" s="864">
        <v>9100</v>
      </c>
      <c r="H105" s="864">
        <v>0</v>
      </c>
    </row>
    <row r="106" spans="1:8" x14ac:dyDescent="0.2">
      <c r="A106" s="443">
        <v>95</v>
      </c>
      <c r="B106" s="463" t="s">
        <v>203</v>
      </c>
      <c r="C106" s="69" t="s">
        <v>204</v>
      </c>
      <c r="D106" s="864">
        <f t="shared" si="2"/>
        <v>16034</v>
      </c>
      <c r="E106" s="864">
        <v>0</v>
      </c>
      <c r="F106" s="864">
        <v>2905</v>
      </c>
      <c r="G106" s="864">
        <v>13129</v>
      </c>
      <c r="H106" s="864">
        <v>0</v>
      </c>
    </row>
    <row r="107" spans="1:8" x14ac:dyDescent="0.2">
      <c r="A107" s="443">
        <v>96</v>
      </c>
      <c r="B107" s="458" t="s">
        <v>205</v>
      </c>
      <c r="C107" s="459" t="s">
        <v>206</v>
      </c>
      <c r="D107" s="864">
        <f t="shared" si="2"/>
        <v>11431</v>
      </c>
      <c r="E107" s="864">
        <v>0</v>
      </c>
      <c r="F107" s="864">
        <v>2521</v>
      </c>
      <c r="G107" s="864">
        <v>8910</v>
      </c>
      <c r="H107" s="864">
        <v>0</v>
      </c>
    </row>
    <row r="108" spans="1:8" x14ac:dyDescent="0.2">
      <c r="A108" s="443">
        <v>97</v>
      </c>
      <c r="B108" s="460" t="s">
        <v>207</v>
      </c>
      <c r="C108" s="459" t="s">
        <v>208</v>
      </c>
      <c r="D108" s="864">
        <f t="shared" si="2"/>
        <v>24820</v>
      </c>
      <c r="E108" s="864">
        <v>0</v>
      </c>
      <c r="F108" s="864">
        <v>2830</v>
      </c>
      <c r="G108" s="864">
        <v>15699</v>
      </c>
      <c r="H108" s="864">
        <v>6291</v>
      </c>
    </row>
    <row r="109" spans="1:8" x14ac:dyDescent="0.2">
      <c r="A109" s="443">
        <v>98</v>
      </c>
      <c r="B109" s="461" t="s">
        <v>209</v>
      </c>
      <c r="C109" s="462" t="s">
        <v>210</v>
      </c>
      <c r="D109" s="864">
        <f t="shared" si="2"/>
        <v>12597</v>
      </c>
      <c r="E109" s="864">
        <v>0</v>
      </c>
      <c r="F109" s="864">
        <v>5443</v>
      </c>
      <c r="G109" s="864">
        <v>7154</v>
      </c>
      <c r="H109" s="864">
        <v>0</v>
      </c>
    </row>
    <row r="110" spans="1:8" x14ac:dyDescent="0.2">
      <c r="A110" s="443">
        <v>99</v>
      </c>
      <c r="B110" s="461" t="s">
        <v>211</v>
      </c>
      <c r="C110" s="462" t="s">
        <v>212</v>
      </c>
      <c r="D110" s="864">
        <f t="shared" si="2"/>
        <v>12286</v>
      </c>
      <c r="E110" s="864">
        <v>0</v>
      </c>
      <c r="F110" s="864">
        <v>3290</v>
      </c>
      <c r="G110" s="864">
        <v>8996</v>
      </c>
      <c r="H110" s="864">
        <v>0</v>
      </c>
    </row>
    <row r="111" spans="1:8" x14ac:dyDescent="0.2">
      <c r="A111" s="443">
        <v>100</v>
      </c>
      <c r="B111" s="458" t="s">
        <v>213</v>
      </c>
      <c r="C111" s="459" t="s">
        <v>214</v>
      </c>
      <c r="D111" s="864">
        <f>E111+F111+G111+H111</f>
        <v>25359</v>
      </c>
      <c r="E111" s="864">
        <v>0</v>
      </c>
      <c r="F111" s="864">
        <v>4765</v>
      </c>
      <c r="G111" s="864">
        <v>20594</v>
      </c>
      <c r="H111" s="864">
        <v>0</v>
      </c>
    </row>
    <row r="112" spans="1:8" x14ac:dyDescent="0.2">
      <c r="A112" s="443">
        <v>101</v>
      </c>
      <c r="B112" s="460" t="s">
        <v>215</v>
      </c>
      <c r="C112" s="459" t="s">
        <v>216</v>
      </c>
      <c r="D112" s="864">
        <f t="shared" si="2"/>
        <v>5473</v>
      </c>
      <c r="E112" s="864">
        <v>0</v>
      </c>
      <c r="F112" s="864">
        <v>1165</v>
      </c>
      <c r="G112" s="864">
        <v>4308</v>
      </c>
      <c r="H112" s="864">
        <v>0</v>
      </c>
    </row>
    <row r="113" spans="1:8" x14ac:dyDescent="0.2">
      <c r="A113" s="443">
        <v>102</v>
      </c>
      <c r="B113" s="458" t="s">
        <v>217</v>
      </c>
      <c r="C113" s="462" t="s">
        <v>218</v>
      </c>
      <c r="D113" s="864">
        <f t="shared" si="2"/>
        <v>0</v>
      </c>
      <c r="E113" s="864">
        <v>0</v>
      </c>
      <c r="F113" s="864">
        <v>0</v>
      </c>
      <c r="G113" s="864">
        <v>0</v>
      </c>
      <c r="H113" s="864">
        <v>0</v>
      </c>
    </row>
    <row r="114" spans="1:8" x14ac:dyDescent="0.2">
      <c r="A114" s="443">
        <v>103</v>
      </c>
      <c r="B114" s="458" t="s">
        <v>219</v>
      </c>
      <c r="C114" s="459" t="s">
        <v>220</v>
      </c>
      <c r="D114" s="864">
        <f t="shared" si="2"/>
        <v>0</v>
      </c>
      <c r="E114" s="864">
        <v>0</v>
      </c>
      <c r="F114" s="864">
        <v>0</v>
      </c>
      <c r="G114" s="864">
        <v>0</v>
      </c>
      <c r="H114" s="864"/>
    </row>
    <row r="115" spans="1:8" x14ac:dyDescent="0.2">
      <c r="A115" s="443">
        <v>104</v>
      </c>
      <c r="B115" s="461" t="s">
        <v>221</v>
      </c>
      <c r="C115" s="462" t="s">
        <v>222</v>
      </c>
      <c r="D115" s="864">
        <f t="shared" si="2"/>
        <v>0</v>
      </c>
      <c r="E115" s="864">
        <v>0</v>
      </c>
      <c r="F115" s="864">
        <v>0</v>
      </c>
      <c r="G115" s="864">
        <v>0</v>
      </c>
      <c r="H115" s="864">
        <v>0</v>
      </c>
    </row>
    <row r="116" spans="1:8" x14ac:dyDescent="0.2">
      <c r="A116" s="443">
        <v>105</v>
      </c>
      <c r="B116" s="461" t="s">
        <v>223</v>
      </c>
      <c r="C116" s="462" t="s">
        <v>224</v>
      </c>
      <c r="D116" s="864">
        <f t="shared" si="2"/>
        <v>0</v>
      </c>
      <c r="E116" s="864">
        <v>0</v>
      </c>
      <c r="F116" s="864">
        <v>0</v>
      </c>
      <c r="G116" s="864">
        <v>0</v>
      </c>
      <c r="H116" s="864">
        <v>0</v>
      </c>
    </row>
    <row r="117" spans="1:8" x14ac:dyDescent="0.2">
      <c r="A117" s="443">
        <v>106</v>
      </c>
      <c r="B117" s="461" t="s">
        <v>225</v>
      </c>
      <c r="C117" s="462" t="s">
        <v>226</v>
      </c>
      <c r="D117" s="864">
        <f t="shared" si="2"/>
        <v>0</v>
      </c>
      <c r="E117" s="864">
        <v>0</v>
      </c>
      <c r="F117" s="864">
        <v>0</v>
      </c>
      <c r="G117" s="864">
        <v>0</v>
      </c>
      <c r="H117" s="864">
        <v>0</v>
      </c>
    </row>
    <row r="118" spans="1:8" ht="24" x14ac:dyDescent="0.2">
      <c r="A118" s="443">
        <v>107</v>
      </c>
      <c r="B118" s="461" t="s">
        <v>227</v>
      </c>
      <c r="C118" s="462" t="s">
        <v>228</v>
      </c>
      <c r="D118" s="864">
        <f t="shared" si="2"/>
        <v>0</v>
      </c>
      <c r="E118" s="864">
        <v>0</v>
      </c>
      <c r="F118" s="864">
        <v>0</v>
      </c>
      <c r="G118" s="864">
        <v>0</v>
      </c>
      <c r="H118" s="864">
        <v>0</v>
      </c>
    </row>
    <row r="119" spans="1:8" x14ac:dyDescent="0.2">
      <c r="A119" s="443">
        <v>108</v>
      </c>
      <c r="B119" s="461" t="s">
        <v>229</v>
      </c>
      <c r="C119" s="462" t="s">
        <v>230</v>
      </c>
      <c r="D119" s="864">
        <f t="shared" si="2"/>
        <v>0</v>
      </c>
      <c r="E119" s="864">
        <v>0</v>
      </c>
      <c r="F119" s="864">
        <v>0</v>
      </c>
      <c r="G119" s="864">
        <v>0</v>
      </c>
      <c r="H119" s="864">
        <v>0</v>
      </c>
    </row>
    <row r="120" spans="1:8" x14ac:dyDescent="0.2">
      <c r="A120" s="443">
        <v>109</v>
      </c>
      <c r="B120" s="461" t="s">
        <v>231</v>
      </c>
      <c r="C120" s="462" t="s">
        <v>232</v>
      </c>
      <c r="D120" s="864">
        <f t="shared" si="2"/>
        <v>0</v>
      </c>
      <c r="E120" s="864">
        <v>0</v>
      </c>
      <c r="F120" s="864">
        <v>0</v>
      </c>
      <c r="G120" s="864">
        <v>0</v>
      </c>
      <c r="H120" s="864">
        <v>0</v>
      </c>
    </row>
    <row r="121" spans="1:8" x14ac:dyDescent="0.2">
      <c r="A121" s="443">
        <v>110</v>
      </c>
      <c r="B121" s="451" t="s">
        <v>233</v>
      </c>
      <c r="C121" s="452" t="s">
        <v>234</v>
      </c>
      <c r="D121" s="864">
        <f t="shared" si="2"/>
        <v>0</v>
      </c>
      <c r="E121" s="864">
        <v>0</v>
      </c>
      <c r="F121" s="864">
        <v>0</v>
      </c>
      <c r="G121" s="864">
        <v>0</v>
      </c>
      <c r="H121" s="864">
        <v>0</v>
      </c>
    </row>
    <row r="122" spans="1:8" x14ac:dyDescent="0.2">
      <c r="A122" s="443">
        <v>111</v>
      </c>
      <c r="B122" s="451" t="s">
        <v>235</v>
      </c>
      <c r="C122" s="452" t="s">
        <v>236</v>
      </c>
      <c r="D122" s="864">
        <f t="shared" si="2"/>
        <v>0</v>
      </c>
      <c r="E122" s="864">
        <v>0</v>
      </c>
      <c r="F122" s="864">
        <v>0</v>
      </c>
      <c r="G122" s="864">
        <v>0</v>
      </c>
      <c r="H122" s="864">
        <v>0</v>
      </c>
    </row>
    <row r="123" spans="1:8" x14ac:dyDescent="0.2">
      <c r="A123" s="443">
        <v>112</v>
      </c>
      <c r="B123" s="460" t="s">
        <v>237</v>
      </c>
      <c r="C123" s="459" t="s">
        <v>238</v>
      </c>
      <c r="D123" s="864">
        <f t="shared" si="2"/>
        <v>0</v>
      </c>
      <c r="E123" s="864">
        <v>0</v>
      </c>
      <c r="F123" s="864">
        <v>0</v>
      </c>
      <c r="G123" s="864">
        <v>0</v>
      </c>
      <c r="H123" s="864">
        <v>0</v>
      </c>
    </row>
    <row r="124" spans="1:8" x14ac:dyDescent="0.2">
      <c r="A124" s="443">
        <v>113</v>
      </c>
      <c r="B124" s="461" t="s">
        <v>239</v>
      </c>
      <c r="C124" s="462" t="s">
        <v>240</v>
      </c>
      <c r="D124" s="864">
        <f t="shared" si="2"/>
        <v>0</v>
      </c>
      <c r="E124" s="864">
        <v>0</v>
      </c>
      <c r="F124" s="864">
        <v>0</v>
      </c>
      <c r="G124" s="864">
        <v>0</v>
      </c>
      <c r="H124" s="864">
        <v>0</v>
      </c>
    </row>
    <row r="125" spans="1:8" ht="24" x14ac:dyDescent="0.2">
      <c r="A125" s="443">
        <v>114</v>
      </c>
      <c r="B125" s="458" t="s">
        <v>241</v>
      </c>
      <c r="C125" s="465" t="s">
        <v>242</v>
      </c>
      <c r="D125" s="864">
        <f t="shared" si="2"/>
        <v>0</v>
      </c>
      <c r="E125" s="864">
        <v>0</v>
      </c>
      <c r="F125" s="864">
        <v>0</v>
      </c>
      <c r="G125" s="864">
        <v>0</v>
      </c>
      <c r="H125" s="864">
        <v>0</v>
      </c>
    </row>
    <row r="126" spans="1:8" x14ac:dyDescent="0.2">
      <c r="A126" s="443">
        <v>115</v>
      </c>
      <c r="B126" s="461" t="s">
        <v>243</v>
      </c>
      <c r="C126" s="69" t="s">
        <v>385</v>
      </c>
      <c r="D126" s="864">
        <f t="shared" si="2"/>
        <v>0</v>
      </c>
      <c r="E126" s="864">
        <v>0</v>
      </c>
      <c r="F126" s="864">
        <v>0</v>
      </c>
      <c r="G126" s="864">
        <v>0</v>
      </c>
      <c r="H126" s="864">
        <v>0</v>
      </c>
    </row>
    <row r="127" spans="1:8" x14ac:dyDescent="0.2">
      <c r="A127" s="443">
        <v>116</v>
      </c>
      <c r="B127" s="460" t="s">
        <v>244</v>
      </c>
      <c r="C127" s="462" t="s">
        <v>245</v>
      </c>
      <c r="D127" s="864">
        <f t="shared" si="2"/>
        <v>0</v>
      </c>
      <c r="E127" s="864">
        <v>0</v>
      </c>
      <c r="F127" s="864">
        <v>0</v>
      </c>
      <c r="G127" s="864">
        <v>0</v>
      </c>
      <c r="H127" s="864">
        <v>0</v>
      </c>
    </row>
    <row r="128" spans="1:8" x14ac:dyDescent="0.2">
      <c r="A128" s="443">
        <v>117</v>
      </c>
      <c r="B128" s="460" t="s">
        <v>246</v>
      </c>
      <c r="C128" s="462" t="s">
        <v>247</v>
      </c>
      <c r="D128" s="864">
        <f t="shared" si="2"/>
        <v>0</v>
      </c>
      <c r="E128" s="864">
        <v>0</v>
      </c>
      <c r="F128" s="864">
        <v>0</v>
      </c>
      <c r="G128" s="864">
        <v>0</v>
      </c>
      <c r="H128" s="864">
        <v>0</v>
      </c>
    </row>
    <row r="129" spans="1:8" x14ac:dyDescent="0.2">
      <c r="A129" s="443">
        <v>118</v>
      </c>
      <c r="B129" s="460" t="s">
        <v>248</v>
      </c>
      <c r="C129" s="462" t="s">
        <v>249</v>
      </c>
      <c r="D129" s="864">
        <f t="shared" si="2"/>
        <v>0</v>
      </c>
      <c r="E129" s="864">
        <v>0</v>
      </c>
      <c r="F129" s="864">
        <v>0</v>
      </c>
      <c r="G129" s="864">
        <v>0</v>
      </c>
      <c r="H129" s="864">
        <v>0</v>
      </c>
    </row>
    <row r="130" spans="1:8" x14ac:dyDescent="0.2">
      <c r="A130" s="443">
        <v>119</v>
      </c>
      <c r="B130" s="458" t="s">
        <v>250</v>
      </c>
      <c r="C130" s="459" t="s">
        <v>251</v>
      </c>
      <c r="D130" s="864">
        <f t="shared" si="2"/>
        <v>0</v>
      </c>
      <c r="E130" s="864">
        <v>0</v>
      </c>
      <c r="F130" s="864">
        <v>0</v>
      </c>
      <c r="G130" s="864">
        <v>0</v>
      </c>
      <c r="H130" s="864">
        <v>0</v>
      </c>
    </row>
    <row r="131" spans="1:8" x14ac:dyDescent="0.2">
      <c r="A131" s="443">
        <v>120</v>
      </c>
      <c r="B131" s="460" t="s">
        <v>252</v>
      </c>
      <c r="C131" s="459" t="s">
        <v>253</v>
      </c>
      <c r="D131" s="864">
        <f t="shared" si="2"/>
        <v>0</v>
      </c>
      <c r="E131" s="864">
        <v>0</v>
      </c>
      <c r="F131" s="864">
        <v>0</v>
      </c>
      <c r="G131" s="864">
        <v>0</v>
      </c>
      <c r="H131" s="864">
        <v>0</v>
      </c>
    </row>
    <row r="132" spans="1:8" x14ac:dyDescent="0.2">
      <c r="A132" s="443">
        <v>121</v>
      </c>
      <c r="B132" s="461" t="s">
        <v>254</v>
      </c>
      <c r="C132" s="462" t="s">
        <v>255</v>
      </c>
      <c r="D132" s="864">
        <f t="shared" si="2"/>
        <v>0</v>
      </c>
      <c r="E132" s="864">
        <v>0</v>
      </c>
      <c r="F132" s="864">
        <v>0</v>
      </c>
      <c r="G132" s="864">
        <v>0</v>
      </c>
      <c r="H132" s="864">
        <v>0</v>
      </c>
    </row>
    <row r="133" spans="1:8" x14ac:dyDescent="0.2">
      <c r="A133" s="443">
        <v>122</v>
      </c>
      <c r="B133" s="461" t="s">
        <v>256</v>
      </c>
      <c r="C133" s="462" t="s">
        <v>257</v>
      </c>
      <c r="D133" s="864">
        <f t="shared" si="2"/>
        <v>0</v>
      </c>
      <c r="E133" s="864">
        <v>0</v>
      </c>
      <c r="F133" s="864">
        <v>0</v>
      </c>
      <c r="G133" s="864">
        <v>0</v>
      </c>
      <c r="H133" s="864">
        <v>0</v>
      </c>
    </row>
    <row r="134" spans="1:8" x14ac:dyDescent="0.2">
      <c r="A134" s="443">
        <v>123</v>
      </c>
      <c r="B134" s="461" t="s">
        <v>258</v>
      </c>
      <c r="C134" s="462" t="s">
        <v>259</v>
      </c>
      <c r="D134" s="864">
        <f t="shared" si="2"/>
        <v>0</v>
      </c>
      <c r="E134" s="864">
        <v>0</v>
      </c>
      <c r="F134" s="864">
        <v>0</v>
      </c>
      <c r="G134" s="864">
        <v>0</v>
      </c>
      <c r="H134" s="864">
        <v>0</v>
      </c>
    </row>
    <row r="135" spans="1:8" x14ac:dyDescent="0.2">
      <c r="A135" s="443">
        <v>124</v>
      </c>
      <c r="B135" s="461" t="s">
        <v>260</v>
      </c>
      <c r="C135" s="462" t="s">
        <v>261</v>
      </c>
      <c r="D135" s="864">
        <f t="shared" si="2"/>
        <v>0</v>
      </c>
      <c r="E135" s="864">
        <v>0</v>
      </c>
      <c r="F135" s="864">
        <v>0</v>
      </c>
      <c r="G135" s="864">
        <v>0</v>
      </c>
      <c r="H135" s="864">
        <v>0</v>
      </c>
    </row>
    <row r="136" spans="1:8" x14ac:dyDescent="0.2">
      <c r="A136" s="443">
        <v>125</v>
      </c>
      <c r="B136" s="461" t="s">
        <v>262</v>
      </c>
      <c r="C136" s="462" t="s">
        <v>263</v>
      </c>
      <c r="D136" s="864">
        <f t="shared" si="2"/>
        <v>0</v>
      </c>
      <c r="E136" s="864">
        <v>0</v>
      </c>
      <c r="F136" s="864">
        <v>0</v>
      </c>
      <c r="G136" s="864">
        <v>0</v>
      </c>
      <c r="H136" s="864">
        <v>0</v>
      </c>
    </row>
    <row r="137" spans="1:8" x14ac:dyDescent="0.2">
      <c r="A137" s="443">
        <v>126</v>
      </c>
      <c r="B137" s="458" t="s">
        <v>264</v>
      </c>
      <c r="C137" s="459" t="s">
        <v>265</v>
      </c>
      <c r="D137" s="864">
        <f t="shared" si="2"/>
        <v>0</v>
      </c>
      <c r="E137" s="864">
        <v>0</v>
      </c>
      <c r="F137" s="864">
        <v>0</v>
      </c>
      <c r="G137" s="864">
        <v>0</v>
      </c>
      <c r="H137" s="864">
        <v>0</v>
      </c>
    </row>
    <row r="138" spans="1:8" x14ac:dyDescent="0.2">
      <c r="A138" s="443">
        <v>127</v>
      </c>
      <c r="B138" s="458" t="s">
        <v>266</v>
      </c>
      <c r="C138" s="462" t="s">
        <v>267</v>
      </c>
      <c r="D138" s="864">
        <f t="shared" si="2"/>
        <v>11801</v>
      </c>
      <c r="E138" s="864">
        <v>11801</v>
      </c>
      <c r="F138" s="864">
        <v>0</v>
      </c>
      <c r="G138" s="864">
        <v>0</v>
      </c>
      <c r="H138" s="864">
        <v>0</v>
      </c>
    </row>
    <row r="139" spans="1:8" x14ac:dyDescent="0.2">
      <c r="A139" s="443">
        <v>128</v>
      </c>
      <c r="B139" s="463" t="s">
        <v>268</v>
      </c>
      <c r="C139" s="69" t="s">
        <v>269</v>
      </c>
      <c r="D139" s="864">
        <f t="shared" si="2"/>
        <v>24131</v>
      </c>
      <c r="E139" s="864">
        <v>24131</v>
      </c>
      <c r="F139" s="864">
        <v>0</v>
      </c>
      <c r="G139" s="864">
        <v>0</v>
      </c>
      <c r="H139" s="864">
        <v>0</v>
      </c>
    </row>
    <row r="140" spans="1:8" x14ac:dyDescent="0.2">
      <c r="A140" s="443">
        <v>129</v>
      </c>
      <c r="B140" s="461" t="s">
        <v>270</v>
      </c>
      <c r="C140" s="462" t="s">
        <v>271</v>
      </c>
      <c r="D140" s="864">
        <f t="shared" ref="D140:D151" si="3">E140+F140+G140+H140</f>
        <v>0</v>
      </c>
      <c r="E140" s="864">
        <v>0</v>
      </c>
      <c r="F140" s="864">
        <v>0</v>
      </c>
      <c r="G140" s="864">
        <v>0</v>
      </c>
      <c r="H140" s="864">
        <v>0</v>
      </c>
    </row>
    <row r="141" spans="1:8" x14ac:dyDescent="0.2">
      <c r="A141" s="443">
        <v>130</v>
      </c>
      <c r="B141" s="461" t="s">
        <v>272</v>
      </c>
      <c r="C141" s="462" t="s">
        <v>273</v>
      </c>
      <c r="D141" s="864">
        <f t="shared" si="3"/>
        <v>11695</v>
      </c>
      <c r="E141" s="864">
        <v>0</v>
      </c>
      <c r="F141" s="864">
        <v>0</v>
      </c>
      <c r="G141" s="864">
        <v>0</v>
      </c>
      <c r="H141" s="864">
        <v>11695</v>
      </c>
    </row>
    <row r="142" spans="1:8" x14ac:dyDescent="0.2">
      <c r="A142" s="443">
        <v>131</v>
      </c>
      <c r="B142" s="461" t="s">
        <v>274</v>
      </c>
      <c r="C142" s="462" t="s">
        <v>275</v>
      </c>
      <c r="D142" s="864">
        <f t="shared" si="3"/>
        <v>0</v>
      </c>
      <c r="E142" s="864">
        <v>0</v>
      </c>
      <c r="F142" s="864">
        <v>0</v>
      </c>
      <c r="G142" s="864">
        <v>0</v>
      </c>
      <c r="H142" s="864">
        <v>0</v>
      </c>
    </row>
    <row r="143" spans="1:8" x14ac:dyDescent="0.2">
      <c r="A143" s="443">
        <v>132</v>
      </c>
      <c r="B143" s="463" t="s">
        <v>276</v>
      </c>
      <c r="C143" s="69" t="s">
        <v>277</v>
      </c>
      <c r="D143" s="864">
        <f t="shared" si="3"/>
        <v>7822</v>
      </c>
      <c r="E143" s="864">
        <v>0</v>
      </c>
      <c r="F143" s="864">
        <v>3836</v>
      </c>
      <c r="G143" s="864">
        <v>3986</v>
      </c>
      <c r="H143" s="864">
        <v>0</v>
      </c>
    </row>
    <row r="144" spans="1:8" x14ac:dyDescent="0.2">
      <c r="A144" s="443">
        <v>133</v>
      </c>
      <c r="B144" s="460" t="s">
        <v>278</v>
      </c>
      <c r="C144" s="69" t="s">
        <v>279</v>
      </c>
      <c r="D144" s="864">
        <f t="shared" si="3"/>
        <v>60740</v>
      </c>
      <c r="E144" s="864">
        <v>0</v>
      </c>
      <c r="F144" s="864">
        <v>12326</v>
      </c>
      <c r="G144" s="864">
        <v>48414</v>
      </c>
      <c r="H144" s="864">
        <v>0</v>
      </c>
    </row>
    <row r="145" spans="1:8" x14ac:dyDescent="0.2">
      <c r="A145" s="443">
        <v>134</v>
      </c>
      <c r="B145" s="461" t="s">
        <v>280</v>
      </c>
      <c r="C145" s="462" t="s">
        <v>281</v>
      </c>
      <c r="D145" s="864">
        <f t="shared" si="3"/>
        <v>0</v>
      </c>
      <c r="E145" s="864">
        <v>0</v>
      </c>
      <c r="F145" s="864">
        <v>0</v>
      </c>
      <c r="G145" s="864">
        <v>0</v>
      </c>
      <c r="H145" s="864">
        <v>0</v>
      </c>
    </row>
    <row r="146" spans="1:8" x14ac:dyDescent="0.2">
      <c r="A146" s="443">
        <v>135</v>
      </c>
      <c r="B146" s="458" t="s">
        <v>282</v>
      </c>
      <c r="C146" s="459" t="s">
        <v>283</v>
      </c>
      <c r="D146" s="864">
        <f t="shared" si="3"/>
        <v>0</v>
      </c>
      <c r="E146" s="864">
        <v>0</v>
      </c>
      <c r="F146" s="864">
        <v>0</v>
      </c>
      <c r="G146" s="864">
        <v>0</v>
      </c>
      <c r="H146" s="864">
        <v>0</v>
      </c>
    </row>
    <row r="147" spans="1:8" ht="12.75" x14ac:dyDescent="0.2">
      <c r="A147" s="443">
        <v>136</v>
      </c>
      <c r="B147" s="466" t="s">
        <v>284</v>
      </c>
      <c r="C147" s="467" t="s">
        <v>285</v>
      </c>
      <c r="D147" s="864">
        <f t="shared" si="3"/>
        <v>0</v>
      </c>
      <c r="E147" s="864">
        <v>0</v>
      </c>
      <c r="F147" s="864">
        <v>0</v>
      </c>
      <c r="G147" s="864">
        <v>0</v>
      </c>
      <c r="H147" s="864">
        <v>0</v>
      </c>
    </row>
    <row r="148" spans="1:8" x14ac:dyDescent="0.2">
      <c r="A148" s="443">
        <v>137</v>
      </c>
      <c r="B148" s="77" t="s">
        <v>387</v>
      </c>
      <c r="C148" s="454" t="s">
        <v>388</v>
      </c>
      <c r="D148" s="864">
        <f t="shared" si="3"/>
        <v>0</v>
      </c>
      <c r="E148" s="864">
        <v>0</v>
      </c>
      <c r="F148" s="864"/>
      <c r="G148" s="864"/>
      <c r="H148" s="865">
        <v>0</v>
      </c>
    </row>
    <row r="149" spans="1:8" x14ac:dyDescent="0.2">
      <c r="A149" s="443">
        <v>138</v>
      </c>
      <c r="B149" s="78" t="s">
        <v>389</v>
      </c>
      <c r="C149" s="455" t="s">
        <v>390</v>
      </c>
      <c r="D149" s="864">
        <f t="shared" si="3"/>
        <v>0</v>
      </c>
      <c r="E149" s="864">
        <v>0</v>
      </c>
      <c r="F149" s="864"/>
      <c r="G149" s="864"/>
      <c r="H149" s="865">
        <v>0</v>
      </c>
    </row>
    <row r="150" spans="1:8" x14ac:dyDescent="0.2">
      <c r="A150" s="443">
        <v>139</v>
      </c>
      <c r="B150" s="79" t="s">
        <v>391</v>
      </c>
      <c r="C150" s="456" t="s">
        <v>392</v>
      </c>
      <c r="D150" s="864">
        <f t="shared" si="3"/>
        <v>0</v>
      </c>
      <c r="E150" s="864">
        <v>0</v>
      </c>
      <c r="F150" s="864"/>
      <c r="G150" s="864"/>
      <c r="H150" s="865">
        <v>0</v>
      </c>
    </row>
    <row r="151" spans="1:8" x14ac:dyDescent="0.2">
      <c r="A151" s="443">
        <v>140</v>
      </c>
      <c r="B151" s="443" t="s">
        <v>393</v>
      </c>
      <c r="C151" s="457" t="s">
        <v>394</v>
      </c>
      <c r="D151" s="864">
        <f t="shared" si="3"/>
        <v>0</v>
      </c>
      <c r="E151" s="864">
        <v>0</v>
      </c>
      <c r="F151" s="864"/>
      <c r="G151" s="864"/>
      <c r="H151" s="865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5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157" sqref="B157"/>
    </sheetView>
  </sheetViews>
  <sheetFormatPr defaultRowHeight="15" x14ac:dyDescent="0.25"/>
  <cols>
    <col min="1" max="2" width="9.140625" style="370"/>
    <col min="3" max="3" width="46.7109375" style="370" customWidth="1"/>
    <col min="4" max="4" width="14" style="370" customWidth="1"/>
    <col min="5" max="5" width="17.28515625" style="370" customWidth="1"/>
    <col min="6" max="6" width="9.140625" style="370"/>
    <col min="7" max="7" width="14.85546875" style="370" customWidth="1"/>
    <col min="8" max="8" width="16.7109375" style="370" customWidth="1"/>
    <col min="9" max="16384" width="9.140625" style="370"/>
  </cols>
  <sheetData>
    <row r="1" spans="1:8" ht="43.5" customHeight="1" x14ac:dyDescent="0.25">
      <c r="A1" s="1033" t="s">
        <v>755</v>
      </c>
      <c r="B1" s="1033"/>
      <c r="C1" s="1033"/>
      <c r="D1" s="1033"/>
      <c r="E1" s="1033"/>
      <c r="F1" s="1033"/>
      <c r="G1" s="1033"/>
      <c r="H1" s="1033"/>
    </row>
    <row r="2" spans="1:8" ht="32.25" customHeight="1" x14ac:dyDescent="0.25">
      <c r="A2" s="1034" t="s">
        <v>0</v>
      </c>
      <c r="B2" s="1035" t="s">
        <v>1</v>
      </c>
      <c r="C2" s="1034" t="s">
        <v>2</v>
      </c>
      <c r="D2" s="1037" t="s">
        <v>756</v>
      </c>
      <c r="E2" s="1038"/>
      <c r="F2" s="1038"/>
      <c r="G2" s="1038"/>
      <c r="H2" s="1039"/>
    </row>
    <row r="3" spans="1:8" x14ac:dyDescent="0.25">
      <c r="A3" s="1034"/>
      <c r="B3" s="1036"/>
      <c r="C3" s="1034"/>
      <c r="D3" s="1040" t="s">
        <v>3</v>
      </c>
      <c r="E3" s="1034" t="s">
        <v>4</v>
      </c>
      <c r="F3" s="1034"/>
      <c r="G3" s="1034"/>
      <c r="H3" s="1034"/>
    </row>
    <row r="4" spans="1:8" ht="39" customHeight="1" x14ac:dyDescent="0.25">
      <c r="A4" s="1034"/>
      <c r="B4" s="1036"/>
      <c r="C4" s="1034"/>
      <c r="D4" s="1040"/>
      <c r="E4" s="1041" t="s">
        <v>340</v>
      </c>
      <c r="F4" s="1043" t="s">
        <v>341</v>
      </c>
      <c r="G4" s="1043"/>
      <c r="H4" s="1043"/>
    </row>
    <row r="5" spans="1:8" ht="36" x14ac:dyDescent="0.25">
      <c r="A5" s="1034"/>
      <c r="B5" s="1036"/>
      <c r="C5" s="1034"/>
      <c r="D5" s="1040"/>
      <c r="E5" s="1042"/>
      <c r="F5" s="866" t="s">
        <v>297</v>
      </c>
      <c r="G5" s="867" t="s">
        <v>345</v>
      </c>
      <c r="H5" s="868" t="s">
        <v>346</v>
      </c>
    </row>
    <row r="6" spans="1:8" x14ac:dyDescent="0.25">
      <c r="A6" s="869">
        <v>1</v>
      </c>
      <c r="B6" s="869">
        <v>2</v>
      </c>
      <c r="C6" s="869">
        <v>3</v>
      </c>
      <c r="D6" s="870">
        <v>4</v>
      </c>
      <c r="E6" s="871">
        <v>5</v>
      </c>
      <c r="F6" s="871">
        <v>6</v>
      </c>
      <c r="G6" s="871">
        <v>7</v>
      </c>
      <c r="H6" s="871">
        <v>8</v>
      </c>
    </row>
    <row r="7" spans="1:8" x14ac:dyDescent="0.25">
      <c r="A7" s="1044" t="s">
        <v>6</v>
      </c>
      <c r="B7" s="1044"/>
      <c r="C7" s="1044"/>
      <c r="D7" s="872">
        <f>D8+D9</f>
        <v>562716</v>
      </c>
      <c r="E7" s="872">
        <f>E8+E9</f>
        <v>31531</v>
      </c>
      <c r="F7" s="872">
        <f>F8+F9</f>
        <v>531185</v>
      </c>
      <c r="G7" s="872">
        <f>G8+G9</f>
        <v>87386</v>
      </c>
      <c r="H7" s="872">
        <f t="shared" ref="H7" si="0">H8+H9</f>
        <v>443799</v>
      </c>
    </row>
    <row r="8" spans="1:8" x14ac:dyDescent="0.25">
      <c r="A8" s="1045" t="s">
        <v>14</v>
      </c>
      <c r="B8" s="1046"/>
      <c r="C8" s="1047"/>
      <c r="D8" s="870">
        <f t="shared" ref="D8" si="1">E8+F8</f>
        <v>0</v>
      </c>
      <c r="E8" s="871"/>
      <c r="F8" s="871"/>
      <c r="G8" s="871"/>
      <c r="H8" s="871"/>
    </row>
    <row r="9" spans="1:8" x14ac:dyDescent="0.25">
      <c r="A9" s="1045" t="s">
        <v>15</v>
      </c>
      <c r="B9" s="1046"/>
      <c r="C9" s="1047"/>
      <c r="D9" s="872">
        <f>E9+F9</f>
        <v>562716</v>
      </c>
      <c r="E9" s="872">
        <f>SUM(E10:E145)</f>
        <v>31531</v>
      </c>
      <c r="F9" s="872">
        <f>SUM(G9:H9)</f>
        <v>531185</v>
      </c>
      <c r="G9" s="872">
        <f>SUM(G10:G145)</f>
        <v>87386</v>
      </c>
      <c r="H9" s="872">
        <f>SUM(H10:H145)</f>
        <v>443799</v>
      </c>
    </row>
    <row r="10" spans="1:8" x14ac:dyDescent="0.25">
      <c r="A10" s="371">
        <v>1</v>
      </c>
      <c r="B10" s="372" t="s">
        <v>16</v>
      </c>
      <c r="C10" s="373" t="s">
        <v>17</v>
      </c>
      <c r="D10" s="871">
        <f t="shared" ref="D10:D73" si="2">E10+F10</f>
        <v>0</v>
      </c>
      <c r="E10" s="871">
        <v>0</v>
      </c>
      <c r="F10" s="871">
        <f t="shared" ref="F10:F73" si="3">SUM(G10:H10)</f>
        <v>0</v>
      </c>
      <c r="G10" s="871">
        <v>0</v>
      </c>
      <c r="H10" s="871">
        <v>0</v>
      </c>
    </row>
    <row r="11" spans="1:8" x14ac:dyDescent="0.25">
      <c r="A11" s="371">
        <v>2</v>
      </c>
      <c r="B11" s="374" t="s">
        <v>18</v>
      </c>
      <c r="C11" s="373" t="s">
        <v>19</v>
      </c>
      <c r="D11" s="871">
        <f t="shared" si="2"/>
        <v>2852</v>
      </c>
      <c r="E11" s="871">
        <v>0</v>
      </c>
      <c r="F11" s="871">
        <f t="shared" si="3"/>
        <v>2852</v>
      </c>
      <c r="G11" s="871">
        <v>0</v>
      </c>
      <c r="H11" s="871">
        <v>2852</v>
      </c>
    </row>
    <row r="12" spans="1:8" x14ac:dyDescent="0.25">
      <c r="A12" s="371">
        <v>3</v>
      </c>
      <c r="B12" s="375" t="s">
        <v>20</v>
      </c>
      <c r="C12" s="376" t="s">
        <v>21</v>
      </c>
      <c r="D12" s="871">
        <f t="shared" si="2"/>
        <v>24850</v>
      </c>
      <c r="E12" s="871">
        <v>0</v>
      </c>
      <c r="F12" s="871">
        <f t="shared" si="3"/>
        <v>24850</v>
      </c>
      <c r="G12" s="871">
        <v>285</v>
      </c>
      <c r="H12" s="871">
        <v>24565</v>
      </c>
    </row>
    <row r="13" spans="1:8" x14ac:dyDescent="0.25">
      <c r="A13" s="371">
        <v>4</v>
      </c>
      <c r="B13" s="372" t="s">
        <v>22</v>
      </c>
      <c r="C13" s="373" t="s">
        <v>23</v>
      </c>
      <c r="D13" s="871">
        <f t="shared" si="2"/>
        <v>2387</v>
      </c>
      <c r="E13" s="871">
        <v>0</v>
      </c>
      <c r="F13" s="871">
        <f t="shared" si="3"/>
        <v>2387</v>
      </c>
      <c r="G13" s="871">
        <v>0</v>
      </c>
      <c r="H13" s="871">
        <v>2387</v>
      </c>
    </row>
    <row r="14" spans="1:8" x14ac:dyDescent="0.25">
      <c r="A14" s="371">
        <v>5</v>
      </c>
      <c r="B14" s="372" t="s">
        <v>24</v>
      </c>
      <c r="C14" s="373" t="s">
        <v>25</v>
      </c>
      <c r="D14" s="871">
        <f t="shared" si="2"/>
        <v>6201</v>
      </c>
      <c r="E14" s="871">
        <v>0</v>
      </c>
      <c r="F14" s="871">
        <f t="shared" si="3"/>
        <v>6201</v>
      </c>
      <c r="G14" s="871">
        <v>1500</v>
      </c>
      <c r="H14" s="871">
        <v>4701</v>
      </c>
    </row>
    <row r="15" spans="1:8" x14ac:dyDescent="0.25">
      <c r="A15" s="371">
        <v>6</v>
      </c>
      <c r="B15" s="375" t="s">
        <v>26</v>
      </c>
      <c r="C15" s="376" t="s">
        <v>27</v>
      </c>
      <c r="D15" s="871">
        <f t="shared" si="2"/>
        <v>3660</v>
      </c>
      <c r="E15" s="871">
        <v>0</v>
      </c>
      <c r="F15" s="871">
        <f t="shared" si="3"/>
        <v>3660</v>
      </c>
      <c r="G15" s="871">
        <v>2320</v>
      </c>
      <c r="H15" s="871">
        <v>1340</v>
      </c>
    </row>
    <row r="16" spans="1:8" x14ac:dyDescent="0.25">
      <c r="A16" s="371">
        <v>7</v>
      </c>
      <c r="B16" s="377" t="s">
        <v>28</v>
      </c>
      <c r="C16" s="378" t="s">
        <v>29</v>
      </c>
      <c r="D16" s="871">
        <f t="shared" si="2"/>
        <v>7165</v>
      </c>
      <c r="E16" s="871">
        <v>0</v>
      </c>
      <c r="F16" s="871">
        <f t="shared" si="3"/>
        <v>7165</v>
      </c>
      <c r="G16" s="871">
        <v>2012</v>
      </c>
      <c r="H16" s="871">
        <v>5153</v>
      </c>
    </row>
    <row r="17" spans="1:8" x14ac:dyDescent="0.25">
      <c r="A17" s="371">
        <v>8</v>
      </c>
      <c r="B17" s="375" t="s">
        <v>30</v>
      </c>
      <c r="C17" s="376" t="s">
        <v>31</v>
      </c>
      <c r="D17" s="871">
        <f t="shared" si="2"/>
        <v>3000</v>
      </c>
      <c r="E17" s="871">
        <v>0</v>
      </c>
      <c r="F17" s="871">
        <f t="shared" si="3"/>
        <v>3000</v>
      </c>
      <c r="G17" s="871">
        <v>0</v>
      </c>
      <c r="H17" s="871">
        <v>3000</v>
      </c>
    </row>
    <row r="18" spans="1:8" x14ac:dyDescent="0.25">
      <c r="A18" s="371">
        <v>9</v>
      </c>
      <c r="B18" s="375" t="s">
        <v>32</v>
      </c>
      <c r="C18" s="376" t="s">
        <v>33</v>
      </c>
      <c r="D18" s="871">
        <f t="shared" si="2"/>
        <v>0</v>
      </c>
      <c r="E18" s="871">
        <v>0</v>
      </c>
      <c r="F18" s="871">
        <f t="shared" si="3"/>
        <v>0</v>
      </c>
      <c r="G18" s="871">
        <v>0</v>
      </c>
      <c r="H18" s="871">
        <v>0</v>
      </c>
    </row>
    <row r="19" spans="1:8" x14ac:dyDescent="0.25">
      <c r="A19" s="371">
        <v>10</v>
      </c>
      <c r="B19" s="375" t="s">
        <v>34</v>
      </c>
      <c r="C19" s="376" t="s">
        <v>35</v>
      </c>
      <c r="D19" s="871">
        <f t="shared" si="2"/>
        <v>5206</v>
      </c>
      <c r="E19" s="871">
        <v>0</v>
      </c>
      <c r="F19" s="871">
        <f t="shared" si="3"/>
        <v>5206</v>
      </c>
      <c r="G19" s="871">
        <v>1206</v>
      </c>
      <c r="H19" s="871">
        <v>4000</v>
      </c>
    </row>
    <row r="20" spans="1:8" x14ac:dyDescent="0.25">
      <c r="A20" s="371">
        <v>11</v>
      </c>
      <c r="B20" s="375" t="s">
        <v>36</v>
      </c>
      <c r="C20" s="376" t="s">
        <v>37</v>
      </c>
      <c r="D20" s="871">
        <f t="shared" si="2"/>
        <v>11105</v>
      </c>
      <c r="E20" s="871">
        <v>0</v>
      </c>
      <c r="F20" s="871">
        <f t="shared" si="3"/>
        <v>11105</v>
      </c>
      <c r="G20" s="871">
        <v>2520</v>
      </c>
      <c r="H20" s="871">
        <v>8585</v>
      </c>
    </row>
    <row r="21" spans="1:8" x14ac:dyDescent="0.25">
      <c r="A21" s="371">
        <v>12</v>
      </c>
      <c r="B21" s="375" t="s">
        <v>38</v>
      </c>
      <c r="C21" s="376" t="s">
        <v>39</v>
      </c>
      <c r="D21" s="871">
        <f t="shared" si="2"/>
        <v>2010</v>
      </c>
      <c r="E21" s="871">
        <v>0</v>
      </c>
      <c r="F21" s="871">
        <f t="shared" si="3"/>
        <v>2010</v>
      </c>
      <c r="G21" s="871">
        <v>10</v>
      </c>
      <c r="H21" s="871">
        <v>2000</v>
      </c>
    </row>
    <row r="22" spans="1:8" x14ac:dyDescent="0.25">
      <c r="A22" s="379">
        <v>13</v>
      </c>
      <c r="B22" s="375" t="s">
        <v>40</v>
      </c>
      <c r="C22" s="376" t="s">
        <v>41</v>
      </c>
      <c r="D22" s="871">
        <f t="shared" si="2"/>
        <v>0</v>
      </c>
      <c r="E22" s="871">
        <v>0</v>
      </c>
      <c r="F22" s="871">
        <f t="shared" si="3"/>
        <v>0</v>
      </c>
      <c r="G22" s="871">
        <v>0</v>
      </c>
      <c r="H22" s="871">
        <v>0</v>
      </c>
    </row>
    <row r="23" spans="1:8" x14ac:dyDescent="0.25">
      <c r="A23" s="371">
        <v>14</v>
      </c>
      <c r="B23" s="372" t="s">
        <v>42</v>
      </c>
      <c r="C23" s="376" t="s">
        <v>43</v>
      </c>
      <c r="D23" s="871">
        <f t="shared" si="2"/>
        <v>0</v>
      </c>
      <c r="E23" s="871">
        <v>0</v>
      </c>
      <c r="F23" s="871">
        <f t="shared" si="3"/>
        <v>0</v>
      </c>
      <c r="G23" s="871">
        <v>0</v>
      </c>
      <c r="H23" s="871">
        <v>0</v>
      </c>
    </row>
    <row r="24" spans="1:8" x14ac:dyDescent="0.25">
      <c r="A24" s="379">
        <v>15</v>
      </c>
      <c r="B24" s="375" t="s">
        <v>44</v>
      </c>
      <c r="C24" s="376" t="s">
        <v>45</v>
      </c>
      <c r="D24" s="871">
        <f t="shared" si="2"/>
        <v>5107</v>
      </c>
      <c r="E24" s="871">
        <v>0</v>
      </c>
      <c r="F24" s="871">
        <f t="shared" si="3"/>
        <v>5107</v>
      </c>
      <c r="G24" s="871">
        <v>602</v>
      </c>
      <c r="H24" s="871">
        <v>4505</v>
      </c>
    </row>
    <row r="25" spans="1:8" x14ac:dyDescent="0.25">
      <c r="A25" s="371">
        <v>16</v>
      </c>
      <c r="B25" s="375" t="s">
        <v>46</v>
      </c>
      <c r="C25" s="376" t="s">
        <v>47</v>
      </c>
      <c r="D25" s="871">
        <f t="shared" si="2"/>
        <v>0</v>
      </c>
      <c r="E25" s="871">
        <v>0</v>
      </c>
      <c r="F25" s="871">
        <f t="shared" si="3"/>
        <v>0</v>
      </c>
      <c r="G25" s="871">
        <v>0</v>
      </c>
      <c r="H25" s="871">
        <v>0</v>
      </c>
    </row>
    <row r="26" spans="1:8" x14ac:dyDescent="0.25">
      <c r="A26" s="379">
        <v>17</v>
      </c>
      <c r="B26" s="375" t="s">
        <v>48</v>
      </c>
      <c r="C26" s="376" t="s">
        <v>49</v>
      </c>
      <c r="D26" s="871">
        <f t="shared" si="2"/>
        <v>8866</v>
      </c>
      <c r="E26" s="871">
        <v>0</v>
      </c>
      <c r="F26" s="871">
        <f t="shared" si="3"/>
        <v>8866</v>
      </c>
      <c r="G26" s="871">
        <v>2272</v>
      </c>
      <c r="H26" s="871">
        <v>6594</v>
      </c>
    </row>
    <row r="27" spans="1:8" x14ac:dyDescent="0.25">
      <c r="A27" s="371">
        <v>18</v>
      </c>
      <c r="B27" s="375" t="s">
        <v>50</v>
      </c>
      <c r="C27" s="376" t="s">
        <v>51</v>
      </c>
      <c r="D27" s="871">
        <f t="shared" si="2"/>
        <v>52300</v>
      </c>
      <c r="E27" s="871">
        <v>0</v>
      </c>
      <c r="F27" s="871">
        <f t="shared" si="3"/>
        <v>52300</v>
      </c>
      <c r="G27" s="871">
        <v>800</v>
      </c>
      <c r="H27" s="871">
        <v>51500</v>
      </c>
    </row>
    <row r="28" spans="1:8" x14ac:dyDescent="0.25">
      <c r="A28" s="379">
        <v>19</v>
      </c>
      <c r="B28" s="372" t="s">
        <v>52</v>
      </c>
      <c r="C28" s="373" t="s">
        <v>53</v>
      </c>
      <c r="D28" s="871">
        <f t="shared" si="2"/>
        <v>1600</v>
      </c>
      <c r="E28" s="871">
        <v>0</v>
      </c>
      <c r="F28" s="871">
        <f t="shared" si="3"/>
        <v>1600</v>
      </c>
      <c r="G28" s="871">
        <v>1200</v>
      </c>
      <c r="H28" s="871">
        <v>400</v>
      </c>
    </row>
    <row r="29" spans="1:8" x14ac:dyDescent="0.25">
      <c r="A29" s="371">
        <v>20</v>
      </c>
      <c r="B29" s="372" t="s">
        <v>54</v>
      </c>
      <c r="C29" s="373" t="s">
        <v>55</v>
      </c>
      <c r="D29" s="871">
        <f t="shared" si="2"/>
        <v>0</v>
      </c>
      <c r="E29" s="871">
        <v>0</v>
      </c>
      <c r="F29" s="871">
        <f t="shared" si="3"/>
        <v>0</v>
      </c>
      <c r="G29" s="871">
        <v>0</v>
      </c>
      <c r="H29" s="871">
        <v>0</v>
      </c>
    </row>
    <row r="30" spans="1:8" x14ac:dyDescent="0.25">
      <c r="A30" s="379">
        <v>21</v>
      </c>
      <c r="B30" s="372" t="s">
        <v>56</v>
      </c>
      <c r="C30" s="373" t="s">
        <v>57</v>
      </c>
      <c r="D30" s="871">
        <f t="shared" si="2"/>
        <v>3033</v>
      </c>
      <c r="E30" s="871">
        <v>0</v>
      </c>
      <c r="F30" s="871">
        <f t="shared" si="3"/>
        <v>3033</v>
      </c>
      <c r="G30" s="871">
        <v>1981</v>
      </c>
      <c r="H30" s="871">
        <v>1052</v>
      </c>
    </row>
    <row r="31" spans="1:8" x14ac:dyDescent="0.25">
      <c r="A31" s="371">
        <v>22</v>
      </c>
      <c r="B31" s="372" t="s">
        <v>58</v>
      </c>
      <c r="C31" s="373" t="s">
        <v>59</v>
      </c>
      <c r="D31" s="871">
        <f t="shared" si="2"/>
        <v>0</v>
      </c>
      <c r="E31" s="871">
        <v>0</v>
      </c>
      <c r="F31" s="871">
        <f t="shared" si="3"/>
        <v>0</v>
      </c>
      <c r="G31" s="871">
        <v>0</v>
      </c>
      <c r="H31" s="871">
        <v>0</v>
      </c>
    </row>
    <row r="32" spans="1:8" x14ac:dyDescent="0.25">
      <c r="A32" s="379">
        <v>23</v>
      </c>
      <c r="B32" s="375" t="s">
        <v>60</v>
      </c>
      <c r="C32" s="376" t="s">
        <v>61</v>
      </c>
      <c r="D32" s="871">
        <f t="shared" si="2"/>
        <v>1693</v>
      </c>
      <c r="E32" s="871">
        <v>0</v>
      </c>
      <c r="F32" s="871">
        <f t="shared" si="3"/>
        <v>1693</v>
      </c>
      <c r="G32" s="871">
        <v>1200</v>
      </c>
      <c r="H32" s="871">
        <v>493</v>
      </c>
    </row>
    <row r="33" spans="1:8" x14ac:dyDescent="0.25">
      <c r="A33" s="371">
        <v>24</v>
      </c>
      <c r="B33" s="375" t="s">
        <v>62</v>
      </c>
      <c r="C33" s="376" t="s">
        <v>63</v>
      </c>
      <c r="D33" s="871">
        <f t="shared" si="2"/>
        <v>0</v>
      </c>
      <c r="E33" s="871">
        <v>0</v>
      </c>
      <c r="F33" s="871">
        <f t="shared" si="3"/>
        <v>0</v>
      </c>
      <c r="G33" s="871">
        <v>0</v>
      </c>
      <c r="H33" s="871">
        <v>0</v>
      </c>
    </row>
    <row r="34" spans="1:8" x14ac:dyDescent="0.25">
      <c r="A34" s="379">
        <v>25</v>
      </c>
      <c r="B34" s="375" t="s">
        <v>64</v>
      </c>
      <c r="C34" s="376" t="s">
        <v>65</v>
      </c>
      <c r="D34" s="871">
        <f t="shared" si="2"/>
        <v>0</v>
      </c>
      <c r="E34" s="871">
        <v>0</v>
      </c>
      <c r="F34" s="871">
        <f t="shared" si="3"/>
        <v>0</v>
      </c>
      <c r="G34" s="871">
        <v>0</v>
      </c>
      <c r="H34" s="871">
        <v>0</v>
      </c>
    </row>
    <row r="35" spans="1:8" x14ac:dyDescent="0.25">
      <c r="A35" s="371">
        <v>26</v>
      </c>
      <c r="B35" s="372" t="s">
        <v>66</v>
      </c>
      <c r="C35" s="378" t="s">
        <v>67</v>
      </c>
      <c r="D35" s="871">
        <f t="shared" si="2"/>
        <v>58471</v>
      </c>
      <c r="E35" s="871">
        <v>0</v>
      </c>
      <c r="F35" s="871">
        <f t="shared" si="3"/>
        <v>58471</v>
      </c>
      <c r="G35" s="871">
        <v>2362</v>
      </c>
      <c r="H35" s="871">
        <v>56109</v>
      </c>
    </row>
    <row r="36" spans="1:8" x14ac:dyDescent="0.25">
      <c r="A36" s="379">
        <v>27</v>
      </c>
      <c r="B36" s="375" t="s">
        <v>68</v>
      </c>
      <c r="C36" s="376" t="s">
        <v>69</v>
      </c>
      <c r="D36" s="871">
        <f t="shared" si="2"/>
        <v>21125</v>
      </c>
      <c r="E36" s="871">
        <v>0</v>
      </c>
      <c r="F36" s="871">
        <f t="shared" si="3"/>
        <v>21125</v>
      </c>
      <c r="G36" s="871">
        <v>1688</v>
      </c>
      <c r="H36" s="871">
        <v>19437</v>
      </c>
    </row>
    <row r="37" spans="1:8" x14ac:dyDescent="0.25">
      <c r="A37" s="371">
        <v>28</v>
      </c>
      <c r="B37" s="375" t="s">
        <v>70</v>
      </c>
      <c r="C37" s="376" t="s">
        <v>71</v>
      </c>
      <c r="D37" s="871">
        <f t="shared" si="2"/>
        <v>58000</v>
      </c>
      <c r="E37" s="871">
        <v>0</v>
      </c>
      <c r="F37" s="871">
        <f t="shared" si="3"/>
        <v>58000</v>
      </c>
      <c r="G37" s="871">
        <v>0</v>
      </c>
      <c r="H37" s="871">
        <v>58000</v>
      </c>
    </row>
    <row r="38" spans="1:8" x14ac:dyDescent="0.25">
      <c r="A38" s="379">
        <v>29</v>
      </c>
      <c r="B38" s="374" t="s">
        <v>72</v>
      </c>
      <c r="C38" s="378" t="s">
        <v>73</v>
      </c>
      <c r="D38" s="871">
        <f t="shared" si="2"/>
        <v>3050</v>
      </c>
      <c r="E38" s="871">
        <v>3050</v>
      </c>
      <c r="F38" s="871">
        <f t="shared" si="3"/>
        <v>0</v>
      </c>
      <c r="G38" s="871">
        <v>0</v>
      </c>
      <c r="H38" s="871">
        <v>0</v>
      </c>
    </row>
    <row r="39" spans="1:8" x14ac:dyDescent="0.25">
      <c r="A39" s="371">
        <v>30</v>
      </c>
      <c r="B39" s="372" t="s">
        <v>74</v>
      </c>
      <c r="C39" s="373" t="s">
        <v>357</v>
      </c>
      <c r="D39" s="871">
        <f t="shared" si="2"/>
        <v>0</v>
      </c>
      <c r="E39" s="871">
        <v>0</v>
      </c>
      <c r="F39" s="871">
        <f t="shared" si="3"/>
        <v>0</v>
      </c>
      <c r="G39" s="871">
        <v>0</v>
      </c>
      <c r="H39" s="871">
        <v>0</v>
      </c>
    </row>
    <row r="40" spans="1:8" x14ac:dyDescent="0.25">
      <c r="A40" s="379">
        <v>31</v>
      </c>
      <c r="B40" s="375" t="s">
        <v>75</v>
      </c>
      <c r="C40" s="376" t="s">
        <v>76</v>
      </c>
      <c r="D40" s="871">
        <f t="shared" si="2"/>
        <v>300</v>
      </c>
      <c r="E40" s="871">
        <v>0</v>
      </c>
      <c r="F40" s="871">
        <f t="shared" si="3"/>
        <v>300</v>
      </c>
      <c r="G40" s="871">
        <v>0</v>
      </c>
      <c r="H40" s="871">
        <v>300</v>
      </c>
    </row>
    <row r="41" spans="1:8" x14ac:dyDescent="0.25">
      <c r="A41" s="371">
        <v>32</v>
      </c>
      <c r="B41" s="374" t="s">
        <v>77</v>
      </c>
      <c r="C41" s="373" t="s">
        <v>78</v>
      </c>
      <c r="D41" s="871">
        <f t="shared" si="2"/>
        <v>12060</v>
      </c>
      <c r="E41" s="871">
        <v>0</v>
      </c>
      <c r="F41" s="871">
        <f t="shared" si="3"/>
        <v>12060</v>
      </c>
      <c r="G41" s="871">
        <v>5400</v>
      </c>
      <c r="H41" s="871">
        <v>6660</v>
      </c>
    </row>
    <row r="42" spans="1:8" x14ac:dyDescent="0.25">
      <c r="A42" s="379">
        <v>33</v>
      </c>
      <c r="B42" s="377" t="s">
        <v>79</v>
      </c>
      <c r="C42" s="378" t="s">
        <v>80</v>
      </c>
      <c r="D42" s="871">
        <f t="shared" si="2"/>
        <v>22540</v>
      </c>
      <c r="E42" s="871">
        <v>0</v>
      </c>
      <c r="F42" s="871">
        <f t="shared" si="3"/>
        <v>22540</v>
      </c>
      <c r="G42" s="871">
        <v>8900</v>
      </c>
      <c r="H42" s="871">
        <v>13640</v>
      </c>
    </row>
    <row r="43" spans="1:8" x14ac:dyDescent="0.25">
      <c r="A43" s="371">
        <v>34</v>
      </c>
      <c r="B43" s="374" t="s">
        <v>81</v>
      </c>
      <c r="C43" s="373" t="s">
        <v>82</v>
      </c>
      <c r="D43" s="871">
        <f t="shared" si="2"/>
        <v>7025</v>
      </c>
      <c r="E43" s="871">
        <v>0</v>
      </c>
      <c r="F43" s="871">
        <f t="shared" si="3"/>
        <v>7025</v>
      </c>
      <c r="G43" s="871">
        <v>1030</v>
      </c>
      <c r="H43" s="871">
        <v>5995</v>
      </c>
    </row>
    <row r="44" spans="1:8" x14ac:dyDescent="0.25">
      <c r="A44" s="379">
        <v>35</v>
      </c>
      <c r="B44" s="375" t="s">
        <v>83</v>
      </c>
      <c r="C44" s="376" t="s">
        <v>84</v>
      </c>
      <c r="D44" s="871">
        <f t="shared" si="2"/>
        <v>34180</v>
      </c>
      <c r="E44" s="871">
        <v>0</v>
      </c>
      <c r="F44" s="871">
        <f t="shared" si="3"/>
        <v>34180</v>
      </c>
      <c r="G44" s="871">
        <v>8000</v>
      </c>
      <c r="H44" s="871">
        <v>26180</v>
      </c>
    </row>
    <row r="45" spans="1:8" x14ac:dyDescent="0.25">
      <c r="A45" s="371">
        <v>36</v>
      </c>
      <c r="B45" s="374" t="s">
        <v>85</v>
      </c>
      <c r="C45" s="373" t="s">
        <v>86</v>
      </c>
      <c r="D45" s="871">
        <f t="shared" si="2"/>
        <v>7791</v>
      </c>
      <c r="E45" s="871">
        <v>0</v>
      </c>
      <c r="F45" s="871">
        <f t="shared" si="3"/>
        <v>7791</v>
      </c>
      <c r="G45" s="871">
        <v>1246</v>
      </c>
      <c r="H45" s="871">
        <v>6545</v>
      </c>
    </row>
    <row r="46" spans="1:8" x14ac:dyDescent="0.25">
      <c r="A46" s="379">
        <v>37</v>
      </c>
      <c r="B46" s="372" t="s">
        <v>87</v>
      </c>
      <c r="C46" s="373" t="s">
        <v>88</v>
      </c>
      <c r="D46" s="871">
        <f t="shared" si="2"/>
        <v>6000</v>
      </c>
      <c r="E46" s="871">
        <v>0</v>
      </c>
      <c r="F46" s="871">
        <f t="shared" si="3"/>
        <v>6000</v>
      </c>
      <c r="G46" s="871">
        <v>6000</v>
      </c>
      <c r="H46" s="871">
        <v>0</v>
      </c>
    </row>
    <row r="47" spans="1:8" x14ac:dyDescent="0.25">
      <c r="A47" s="371">
        <v>38</v>
      </c>
      <c r="B47" s="380" t="s">
        <v>89</v>
      </c>
      <c r="C47" s="381" t="s">
        <v>90</v>
      </c>
      <c r="D47" s="871">
        <f t="shared" si="2"/>
        <v>8350</v>
      </c>
      <c r="E47" s="871">
        <v>0</v>
      </c>
      <c r="F47" s="871">
        <f t="shared" si="3"/>
        <v>8350</v>
      </c>
      <c r="G47" s="871">
        <v>0</v>
      </c>
      <c r="H47" s="871">
        <v>8350</v>
      </c>
    </row>
    <row r="48" spans="1:8" x14ac:dyDescent="0.25">
      <c r="A48" s="379">
        <v>39</v>
      </c>
      <c r="B48" s="372" t="s">
        <v>91</v>
      </c>
      <c r="C48" s="373" t="s">
        <v>92</v>
      </c>
      <c r="D48" s="871">
        <f t="shared" si="2"/>
        <v>2400</v>
      </c>
      <c r="E48" s="871">
        <v>0</v>
      </c>
      <c r="F48" s="871">
        <f t="shared" si="3"/>
        <v>2400</v>
      </c>
      <c r="G48" s="871">
        <v>2400</v>
      </c>
      <c r="H48" s="871">
        <v>0</v>
      </c>
    </row>
    <row r="49" spans="1:8" x14ac:dyDescent="0.25">
      <c r="A49" s="371">
        <v>40</v>
      </c>
      <c r="B49" s="377" t="s">
        <v>93</v>
      </c>
      <c r="C49" s="378" t="s">
        <v>94</v>
      </c>
      <c r="D49" s="871">
        <f t="shared" si="2"/>
        <v>1400</v>
      </c>
      <c r="E49" s="871">
        <v>0</v>
      </c>
      <c r="F49" s="871">
        <f t="shared" si="3"/>
        <v>1400</v>
      </c>
      <c r="G49" s="871">
        <v>400</v>
      </c>
      <c r="H49" s="871">
        <v>1000</v>
      </c>
    </row>
    <row r="50" spans="1:8" x14ac:dyDescent="0.25">
      <c r="A50" s="379">
        <v>41</v>
      </c>
      <c r="B50" s="375" t="s">
        <v>95</v>
      </c>
      <c r="C50" s="376" t="s">
        <v>96</v>
      </c>
      <c r="D50" s="871">
        <f t="shared" si="2"/>
        <v>4032</v>
      </c>
      <c r="E50" s="871">
        <v>0</v>
      </c>
      <c r="F50" s="871">
        <f t="shared" si="3"/>
        <v>4032</v>
      </c>
      <c r="G50" s="871">
        <v>1000</v>
      </c>
      <c r="H50" s="871">
        <v>3032</v>
      </c>
    </row>
    <row r="51" spans="1:8" x14ac:dyDescent="0.25">
      <c r="A51" s="371">
        <v>42</v>
      </c>
      <c r="B51" s="374" t="s">
        <v>97</v>
      </c>
      <c r="C51" s="373" t="s">
        <v>98</v>
      </c>
      <c r="D51" s="871">
        <f t="shared" si="2"/>
        <v>0</v>
      </c>
      <c r="E51" s="871">
        <v>0</v>
      </c>
      <c r="F51" s="871">
        <f t="shared" si="3"/>
        <v>0</v>
      </c>
      <c r="G51" s="871">
        <v>0</v>
      </c>
      <c r="H51" s="871">
        <v>0</v>
      </c>
    </row>
    <row r="52" spans="1:8" x14ac:dyDescent="0.25">
      <c r="A52" s="379">
        <v>43</v>
      </c>
      <c r="B52" s="375" t="s">
        <v>99</v>
      </c>
      <c r="C52" s="376" t="s">
        <v>100</v>
      </c>
      <c r="D52" s="871">
        <f t="shared" si="2"/>
        <v>19718</v>
      </c>
      <c r="E52" s="871">
        <v>0</v>
      </c>
      <c r="F52" s="871">
        <f t="shared" si="3"/>
        <v>19718</v>
      </c>
      <c r="G52" s="871">
        <v>5939</v>
      </c>
      <c r="H52" s="871">
        <v>13779</v>
      </c>
    </row>
    <row r="53" spans="1:8" x14ac:dyDescent="0.25">
      <c r="A53" s="371">
        <v>44</v>
      </c>
      <c r="B53" s="372" t="s">
        <v>101</v>
      </c>
      <c r="C53" s="373" t="s">
        <v>102</v>
      </c>
      <c r="D53" s="871">
        <f t="shared" si="2"/>
        <v>7396</v>
      </c>
      <c r="E53" s="871">
        <v>0</v>
      </c>
      <c r="F53" s="871">
        <f t="shared" si="3"/>
        <v>7396</v>
      </c>
      <c r="G53" s="871">
        <v>360</v>
      </c>
      <c r="H53" s="871">
        <v>7036</v>
      </c>
    </row>
    <row r="54" spans="1:8" x14ac:dyDescent="0.25">
      <c r="A54" s="379">
        <v>45</v>
      </c>
      <c r="B54" s="372" t="s">
        <v>103</v>
      </c>
      <c r="C54" s="373" t="s">
        <v>104</v>
      </c>
      <c r="D54" s="871">
        <f t="shared" si="2"/>
        <v>5084</v>
      </c>
      <c r="E54" s="871">
        <v>0</v>
      </c>
      <c r="F54" s="871">
        <f t="shared" si="3"/>
        <v>5084</v>
      </c>
      <c r="G54" s="871">
        <v>1426</v>
      </c>
      <c r="H54" s="871">
        <v>3658</v>
      </c>
    </row>
    <row r="55" spans="1:8" x14ac:dyDescent="0.25">
      <c r="A55" s="371">
        <v>46</v>
      </c>
      <c r="B55" s="375" t="s">
        <v>105</v>
      </c>
      <c r="C55" s="376" t="s">
        <v>106</v>
      </c>
      <c r="D55" s="871">
        <f t="shared" si="2"/>
        <v>2742</v>
      </c>
      <c r="E55" s="871">
        <v>0</v>
      </c>
      <c r="F55" s="871">
        <f t="shared" si="3"/>
        <v>2742</v>
      </c>
      <c r="G55" s="871">
        <v>0</v>
      </c>
      <c r="H55" s="871">
        <v>2742</v>
      </c>
    </row>
    <row r="56" spans="1:8" x14ac:dyDescent="0.25">
      <c r="A56" s="379">
        <v>47</v>
      </c>
      <c r="B56" s="375" t="s">
        <v>107</v>
      </c>
      <c r="C56" s="376" t="s">
        <v>108</v>
      </c>
      <c r="D56" s="871">
        <f t="shared" si="2"/>
        <v>150</v>
      </c>
      <c r="E56" s="871">
        <v>0</v>
      </c>
      <c r="F56" s="871">
        <f t="shared" si="3"/>
        <v>150</v>
      </c>
      <c r="G56" s="871">
        <v>0</v>
      </c>
      <c r="H56" s="871">
        <v>150</v>
      </c>
    </row>
    <row r="57" spans="1:8" x14ac:dyDescent="0.25">
      <c r="A57" s="371">
        <v>48</v>
      </c>
      <c r="B57" s="374" t="s">
        <v>109</v>
      </c>
      <c r="C57" s="373" t="s">
        <v>110</v>
      </c>
      <c r="D57" s="871">
        <f t="shared" si="2"/>
        <v>0</v>
      </c>
      <c r="E57" s="871">
        <v>0</v>
      </c>
      <c r="F57" s="871">
        <f t="shared" si="3"/>
        <v>0</v>
      </c>
      <c r="G57" s="871">
        <v>0</v>
      </c>
      <c r="H57" s="871">
        <v>0</v>
      </c>
    </row>
    <row r="58" spans="1:8" x14ac:dyDescent="0.25">
      <c r="A58" s="379">
        <v>49</v>
      </c>
      <c r="B58" s="375" t="s">
        <v>111</v>
      </c>
      <c r="C58" s="376" t="s">
        <v>112</v>
      </c>
      <c r="D58" s="871">
        <f t="shared" si="2"/>
        <v>317</v>
      </c>
      <c r="E58" s="871">
        <v>0</v>
      </c>
      <c r="F58" s="871">
        <f t="shared" si="3"/>
        <v>317</v>
      </c>
      <c r="G58" s="871">
        <v>0</v>
      </c>
      <c r="H58" s="871">
        <v>317</v>
      </c>
    </row>
    <row r="59" spans="1:8" x14ac:dyDescent="0.25">
      <c r="A59" s="371">
        <v>50</v>
      </c>
      <c r="B59" s="374" t="s">
        <v>113</v>
      </c>
      <c r="C59" s="373" t="s">
        <v>114</v>
      </c>
      <c r="D59" s="871">
        <f t="shared" si="2"/>
        <v>4940</v>
      </c>
      <c r="E59" s="871">
        <v>0</v>
      </c>
      <c r="F59" s="871">
        <f t="shared" si="3"/>
        <v>4940</v>
      </c>
      <c r="G59" s="871">
        <v>200</v>
      </c>
      <c r="H59" s="871">
        <v>4740</v>
      </c>
    </row>
    <row r="60" spans="1:8" x14ac:dyDescent="0.25">
      <c r="A60" s="379">
        <v>51</v>
      </c>
      <c r="B60" s="375" t="s">
        <v>115</v>
      </c>
      <c r="C60" s="376" t="s">
        <v>116</v>
      </c>
      <c r="D60" s="871">
        <f t="shared" si="2"/>
        <v>3360</v>
      </c>
      <c r="E60" s="871">
        <v>0</v>
      </c>
      <c r="F60" s="871">
        <f t="shared" si="3"/>
        <v>3360</v>
      </c>
      <c r="G60" s="871">
        <v>160</v>
      </c>
      <c r="H60" s="871">
        <v>3200</v>
      </c>
    </row>
    <row r="61" spans="1:8" x14ac:dyDescent="0.25">
      <c r="A61" s="371">
        <v>52</v>
      </c>
      <c r="B61" s="375" t="s">
        <v>117</v>
      </c>
      <c r="C61" s="376" t="s">
        <v>118</v>
      </c>
      <c r="D61" s="871">
        <f t="shared" si="2"/>
        <v>16336</v>
      </c>
      <c r="E61" s="871">
        <v>0</v>
      </c>
      <c r="F61" s="871">
        <f t="shared" si="3"/>
        <v>16336</v>
      </c>
      <c r="G61" s="871">
        <v>506</v>
      </c>
      <c r="H61" s="871">
        <v>15830</v>
      </c>
    </row>
    <row r="62" spans="1:8" x14ac:dyDescent="0.25">
      <c r="A62" s="379">
        <v>53</v>
      </c>
      <c r="B62" s="375" t="s">
        <v>119</v>
      </c>
      <c r="C62" s="376" t="s">
        <v>120</v>
      </c>
      <c r="D62" s="871">
        <f t="shared" si="2"/>
        <v>3951</v>
      </c>
      <c r="E62" s="871">
        <v>0</v>
      </c>
      <c r="F62" s="871">
        <f t="shared" si="3"/>
        <v>3951</v>
      </c>
      <c r="G62" s="871">
        <v>2150</v>
      </c>
      <c r="H62" s="871">
        <v>1801</v>
      </c>
    </row>
    <row r="63" spans="1:8" x14ac:dyDescent="0.25">
      <c r="A63" s="371">
        <v>54</v>
      </c>
      <c r="B63" s="375" t="s">
        <v>121</v>
      </c>
      <c r="C63" s="376" t="s">
        <v>122</v>
      </c>
      <c r="D63" s="871">
        <f t="shared" si="2"/>
        <v>0</v>
      </c>
      <c r="E63" s="871">
        <v>0</v>
      </c>
      <c r="F63" s="871">
        <f t="shared" si="3"/>
        <v>0</v>
      </c>
      <c r="G63" s="871">
        <v>0</v>
      </c>
      <c r="H63" s="871">
        <v>0</v>
      </c>
    </row>
    <row r="64" spans="1:8" x14ac:dyDescent="0.25">
      <c r="A64" s="379">
        <v>55</v>
      </c>
      <c r="B64" s="375" t="s">
        <v>123</v>
      </c>
      <c r="C64" s="376" t="s">
        <v>124</v>
      </c>
      <c r="D64" s="871">
        <f t="shared" si="2"/>
        <v>0</v>
      </c>
      <c r="E64" s="871">
        <v>0</v>
      </c>
      <c r="F64" s="871">
        <f t="shared" si="3"/>
        <v>0</v>
      </c>
      <c r="G64" s="871">
        <v>0</v>
      </c>
      <c r="H64" s="871">
        <v>0</v>
      </c>
    </row>
    <row r="65" spans="1:8" x14ac:dyDescent="0.25">
      <c r="A65" s="371">
        <v>56</v>
      </c>
      <c r="B65" s="382" t="s">
        <v>125</v>
      </c>
      <c r="C65" s="378" t="s">
        <v>126</v>
      </c>
      <c r="D65" s="871">
        <f t="shared" si="2"/>
        <v>0</v>
      </c>
      <c r="E65" s="871">
        <v>0</v>
      </c>
      <c r="F65" s="871">
        <f t="shared" si="3"/>
        <v>0</v>
      </c>
      <c r="G65" s="871">
        <v>0</v>
      </c>
      <c r="H65" s="871">
        <v>0</v>
      </c>
    </row>
    <row r="66" spans="1:8" x14ac:dyDescent="0.25">
      <c r="A66" s="379">
        <v>57</v>
      </c>
      <c r="B66" s="375" t="s">
        <v>127</v>
      </c>
      <c r="C66" s="376" t="s">
        <v>128</v>
      </c>
      <c r="D66" s="871">
        <f t="shared" si="2"/>
        <v>0</v>
      </c>
      <c r="E66" s="871">
        <v>0</v>
      </c>
      <c r="F66" s="871">
        <f t="shared" si="3"/>
        <v>0</v>
      </c>
      <c r="G66" s="871">
        <v>0</v>
      </c>
      <c r="H66" s="871">
        <v>0</v>
      </c>
    </row>
    <row r="67" spans="1:8" x14ac:dyDescent="0.25">
      <c r="A67" s="371">
        <v>58</v>
      </c>
      <c r="B67" s="374" t="s">
        <v>129</v>
      </c>
      <c r="C67" s="376" t="s">
        <v>130</v>
      </c>
      <c r="D67" s="871">
        <f t="shared" si="2"/>
        <v>0</v>
      </c>
      <c r="E67" s="871">
        <v>0</v>
      </c>
      <c r="F67" s="871">
        <f t="shared" si="3"/>
        <v>0</v>
      </c>
      <c r="G67" s="871">
        <v>0</v>
      </c>
      <c r="H67" s="871">
        <v>0</v>
      </c>
    </row>
    <row r="68" spans="1:8" x14ac:dyDescent="0.25">
      <c r="A68" s="379">
        <v>59</v>
      </c>
      <c r="B68" s="377" t="s">
        <v>131</v>
      </c>
      <c r="C68" s="378" t="s">
        <v>132</v>
      </c>
      <c r="D68" s="871">
        <f t="shared" si="2"/>
        <v>1600</v>
      </c>
      <c r="E68" s="871">
        <v>0</v>
      </c>
      <c r="F68" s="871">
        <f t="shared" si="3"/>
        <v>1600</v>
      </c>
      <c r="G68" s="871">
        <v>800</v>
      </c>
      <c r="H68" s="871">
        <v>800</v>
      </c>
    </row>
    <row r="69" spans="1:8" x14ac:dyDescent="0.25">
      <c r="A69" s="371">
        <v>60</v>
      </c>
      <c r="B69" s="374" t="s">
        <v>133</v>
      </c>
      <c r="C69" s="376" t="s">
        <v>134</v>
      </c>
      <c r="D69" s="871">
        <f t="shared" si="2"/>
        <v>0</v>
      </c>
      <c r="E69" s="871">
        <v>0</v>
      </c>
      <c r="F69" s="871">
        <f t="shared" si="3"/>
        <v>0</v>
      </c>
      <c r="G69" s="871">
        <v>0</v>
      </c>
      <c r="H69" s="871">
        <v>0</v>
      </c>
    </row>
    <row r="70" spans="1:8" x14ac:dyDescent="0.25">
      <c r="A70" s="379">
        <v>61</v>
      </c>
      <c r="B70" s="375" t="s">
        <v>135</v>
      </c>
      <c r="C70" s="376" t="s">
        <v>136</v>
      </c>
      <c r="D70" s="871">
        <f t="shared" si="2"/>
        <v>0</v>
      </c>
      <c r="E70" s="871">
        <v>0</v>
      </c>
      <c r="F70" s="871">
        <f t="shared" si="3"/>
        <v>0</v>
      </c>
      <c r="G70" s="871">
        <v>0</v>
      </c>
      <c r="H70" s="871">
        <v>0</v>
      </c>
    </row>
    <row r="71" spans="1:8" x14ac:dyDescent="0.25">
      <c r="A71" s="371">
        <v>62</v>
      </c>
      <c r="B71" s="372" t="s">
        <v>137</v>
      </c>
      <c r="C71" s="376" t="s">
        <v>138</v>
      </c>
      <c r="D71" s="871">
        <f t="shared" si="2"/>
        <v>5040</v>
      </c>
      <c r="E71" s="871">
        <v>5040</v>
      </c>
      <c r="F71" s="871">
        <f t="shared" si="3"/>
        <v>0</v>
      </c>
      <c r="G71" s="871">
        <v>0</v>
      </c>
      <c r="H71" s="871">
        <v>0</v>
      </c>
    </row>
    <row r="72" spans="1:8" x14ac:dyDescent="0.25">
      <c r="A72" s="379">
        <v>63</v>
      </c>
      <c r="B72" s="372" t="s">
        <v>139</v>
      </c>
      <c r="C72" s="376" t="s">
        <v>140</v>
      </c>
      <c r="D72" s="871">
        <f t="shared" si="2"/>
        <v>18904</v>
      </c>
      <c r="E72" s="871">
        <v>18904</v>
      </c>
      <c r="F72" s="871">
        <f t="shared" si="3"/>
        <v>0</v>
      </c>
      <c r="G72" s="871">
        <v>0</v>
      </c>
      <c r="H72" s="871">
        <v>0</v>
      </c>
    </row>
    <row r="73" spans="1:8" x14ac:dyDescent="0.25">
      <c r="A73" s="371">
        <v>64</v>
      </c>
      <c r="B73" s="374" t="s">
        <v>141</v>
      </c>
      <c r="C73" s="376" t="s">
        <v>142</v>
      </c>
      <c r="D73" s="871">
        <f t="shared" si="2"/>
        <v>0</v>
      </c>
      <c r="E73" s="871">
        <v>0</v>
      </c>
      <c r="F73" s="871">
        <f t="shared" si="3"/>
        <v>0</v>
      </c>
      <c r="G73" s="871">
        <v>0</v>
      </c>
      <c r="H73" s="871">
        <v>0</v>
      </c>
    </row>
    <row r="74" spans="1:8" x14ac:dyDescent="0.25">
      <c r="A74" s="379">
        <v>65</v>
      </c>
      <c r="B74" s="374" t="s">
        <v>143</v>
      </c>
      <c r="C74" s="373" t="s">
        <v>144</v>
      </c>
      <c r="D74" s="871">
        <f t="shared" ref="D74:D137" si="4">E74+F74</f>
        <v>0</v>
      </c>
      <c r="E74" s="871">
        <v>0</v>
      </c>
      <c r="F74" s="871">
        <f t="shared" ref="F74:F137" si="5">SUM(G74:H74)</f>
        <v>0</v>
      </c>
      <c r="G74" s="871">
        <v>0</v>
      </c>
      <c r="H74" s="871">
        <v>0</v>
      </c>
    </row>
    <row r="75" spans="1:8" x14ac:dyDescent="0.25">
      <c r="A75" s="371">
        <v>66</v>
      </c>
      <c r="B75" s="374" t="s">
        <v>145</v>
      </c>
      <c r="C75" s="376" t="s">
        <v>146</v>
      </c>
      <c r="D75" s="871">
        <f t="shared" si="4"/>
        <v>0</v>
      </c>
      <c r="E75" s="871">
        <v>0</v>
      </c>
      <c r="F75" s="871">
        <f t="shared" si="5"/>
        <v>0</v>
      </c>
      <c r="G75" s="871">
        <v>0</v>
      </c>
      <c r="H75" s="871">
        <v>0</v>
      </c>
    </row>
    <row r="76" spans="1:8" x14ac:dyDescent="0.25">
      <c r="A76" s="379">
        <v>67</v>
      </c>
      <c r="B76" s="374" t="s">
        <v>147</v>
      </c>
      <c r="C76" s="376" t="s">
        <v>148</v>
      </c>
      <c r="D76" s="871">
        <f t="shared" si="4"/>
        <v>200</v>
      </c>
      <c r="E76" s="871">
        <v>200</v>
      </c>
      <c r="F76" s="871">
        <f t="shared" si="5"/>
        <v>0</v>
      </c>
      <c r="G76" s="871">
        <v>0</v>
      </c>
      <c r="H76" s="871">
        <v>0</v>
      </c>
    </row>
    <row r="77" spans="1:8" x14ac:dyDescent="0.25">
      <c r="A77" s="371">
        <v>68</v>
      </c>
      <c r="B77" s="372" t="s">
        <v>149</v>
      </c>
      <c r="C77" s="376" t="s">
        <v>150</v>
      </c>
      <c r="D77" s="871">
        <f t="shared" si="4"/>
        <v>0</v>
      </c>
      <c r="E77" s="871">
        <v>0</v>
      </c>
      <c r="F77" s="871">
        <f t="shared" si="5"/>
        <v>0</v>
      </c>
      <c r="G77" s="871">
        <v>0</v>
      </c>
      <c r="H77" s="871">
        <v>0</v>
      </c>
    </row>
    <row r="78" spans="1:8" x14ac:dyDescent="0.25">
      <c r="A78" s="379">
        <v>69</v>
      </c>
      <c r="B78" s="374" t="s">
        <v>151</v>
      </c>
      <c r="C78" s="376" t="s">
        <v>152</v>
      </c>
      <c r="D78" s="871">
        <f t="shared" si="4"/>
        <v>50</v>
      </c>
      <c r="E78" s="871">
        <v>50</v>
      </c>
      <c r="F78" s="871">
        <f t="shared" si="5"/>
        <v>0</v>
      </c>
      <c r="G78" s="871">
        <v>0</v>
      </c>
      <c r="H78" s="871">
        <v>0</v>
      </c>
    </row>
    <row r="79" spans="1:8" x14ac:dyDescent="0.25">
      <c r="A79" s="371">
        <v>70</v>
      </c>
      <c r="B79" s="374" t="s">
        <v>153</v>
      </c>
      <c r="C79" s="376" t="s">
        <v>154</v>
      </c>
      <c r="D79" s="871">
        <f t="shared" si="4"/>
        <v>0</v>
      </c>
      <c r="E79" s="871">
        <v>0</v>
      </c>
      <c r="F79" s="871">
        <f t="shared" si="5"/>
        <v>0</v>
      </c>
      <c r="G79" s="871">
        <v>0</v>
      </c>
      <c r="H79" s="871">
        <v>0</v>
      </c>
    </row>
    <row r="80" spans="1:8" x14ac:dyDescent="0.25">
      <c r="A80" s="379">
        <v>71</v>
      </c>
      <c r="B80" s="372" t="s">
        <v>155</v>
      </c>
      <c r="C80" s="376" t="s">
        <v>156</v>
      </c>
      <c r="D80" s="871">
        <f t="shared" si="4"/>
        <v>4000</v>
      </c>
      <c r="E80" s="871">
        <v>4000</v>
      </c>
      <c r="F80" s="871">
        <f t="shared" si="5"/>
        <v>0</v>
      </c>
      <c r="G80" s="871">
        <v>0</v>
      </c>
      <c r="H80" s="871">
        <v>0</v>
      </c>
    </row>
    <row r="81" spans="1:8" x14ac:dyDescent="0.25">
      <c r="A81" s="371">
        <v>72</v>
      </c>
      <c r="B81" s="372" t="s">
        <v>157</v>
      </c>
      <c r="C81" s="376" t="s">
        <v>158</v>
      </c>
      <c r="D81" s="871">
        <f t="shared" si="4"/>
        <v>163</v>
      </c>
      <c r="E81" s="871">
        <v>163</v>
      </c>
      <c r="F81" s="871">
        <f t="shared" si="5"/>
        <v>0</v>
      </c>
      <c r="G81" s="871">
        <v>0</v>
      </c>
      <c r="H81" s="871">
        <v>0</v>
      </c>
    </row>
    <row r="82" spans="1:8" x14ac:dyDescent="0.25">
      <c r="A82" s="379">
        <v>73</v>
      </c>
      <c r="B82" s="372" t="s">
        <v>159</v>
      </c>
      <c r="C82" s="376" t="s">
        <v>160</v>
      </c>
      <c r="D82" s="871">
        <f t="shared" si="4"/>
        <v>124</v>
      </c>
      <c r="E82" s="871">
        <v>124</v>
      </c>
      <c r="F82" s="871">
        <f t="shared" si="5"/>
        <v>0</v>
      </c>
      <c r="G82" s="871">
        <v>0</v>
      </c>
      <c r="H82" s="871">
        <v>0</v>
      </c>
    </row>
    <row r="83" spans="1:8" x14ac:dyDescent="0.25">
      <c r="A83" s="371">
        <v>74</v>
      </c>
      <c r="B83" s="375" t="s">
        <v>161</v>
      </c>
      <c r="C83" s="376" t="s">
        <v>162</v>
      </c>
      <c r="D83" s="871">
        <f t="shared" si="4"/>
        <v>3940</v>
      </c>
      <c r="E83" s="871">
        <v>0</v>
      </c>
      <c r="F83" s="871">
        <f t="shared" si="5"/>
        <v>3940</v>
      </c>
      <c r="G83" s="871">
        <v>0</v>
      </c>
      <c r="H83" s="871">
        <v>3940</v>
      </c>
    </row>
    <row r="84" spans="1:8" x14ac:dyDescent="0.25">
      <c r="A84" s="379">
        <v>75</v>
      </c>
      <c r="B84" s="372" t="s">
        <v>163</v>
      </c>
      <c r="C84" s="376" t="s">
        <v>164</v>
      </c>
      <c r="D84" s="871">
        <f t="shared" si="4"/>
        <v>960</v>
      </c>
      <c r="E84" s="871">
        <v>0</v>
      </c>
      <c r="F84" s="871">
        <f t="shared" si="5"/>
        <v>960</v>
      </c>
      <c r="G84" s="871">
        <v>0</v>
      </c>
      <c r="H84" s="871">
        <v>960</v>
      </c>
    </row>
    <row r="85" spans="1:8" x14ac:dyDescent="0.25">
      <c r="A85" s="371">
        <v>76</v>
      </c>
      <c r="B85" s="375" t="s">
        <v>165</v>
      </c>
      <c r="C85" s="376" t="s">
        <v>166</v>
      </c>
      <c r="D85" s="871">
        <f t="shared" si="4"/>
        <v>4300</v>
      </c>
      <c r="E85" s="871">
        <v>0</v>
      </c>
      <c r="F85" s="871">
        <f t="shared" si="5"/>
        <v>4300</v>
      </c>
      <c r="G85" s="871">
        <v>0</v>
      </c>
      <c r="H85" s="871">
        <v>4300</v>
      </c>
    </row>
    <row r="86" spans="1:8" x14ac:dyDescent="0.25">
      <c r="A86" s="379">
        <v>77</v>
      </c>
      <c r="B86" s="377" t="s">
        <v>167</v>
      </c>
      <c r="C86" s="378" t="s">
        <v>168</v>
      </c>
      <c r="D86" s="871">
        <f t="shared" si="4"/>
        <v>0</v>
      </c>
      <c r="E86" s="871">
        <v>0</v>
      </c>
      <c r="F86" s="871">
        <f t="shared" si="5"/>
        <v>0</v>
      </c>
      <c r="G86" s="871">
        <v>0</v>
      </c>
      <c r="H86" s="871">
        <v>0</v>
      </c>
    </row>
    <row r="87" spans="1:8" x14ac:dyDescent="0.25">
      <c r="A87" s="371">
        <v>78</v>
      </c>
      <c r="B87" s="372" t="s">
        <v>169</v>
      </c>
      <c r="C87" s="376" t="s">
        <v>170</v>
      </c>
      <c r="D87" s="871">
        <f t="shared" si="4"/>
        <v>0</v>
      </c>
      <c r="E87" s="871">
        <v>0</v>
      </c>
      <c r="F87" s="871">
        <f t="shared" si="5"/>
        <v>0</v>
      </c>
      <c r="G87" s="871">
        <v>0</v>
      </c>
      <c r="H87" s="871">
        <v>0</v>
      </c>
    </row>
    <row r="88" spans="1:8" x14ac:dyDescent="0.25">
      <c r="A88" s="379">
        <v>79</v>
      </c>
      <c r="B88" s="377" t="s">
        <v>171</v>
      </c>
      <c r="C88" s="378" t="s">
        <v>172</v>
      </c>
      <c r="D88" s="871">
        <f t="shared" si="4"/>
        <v>0</v>
      </c>
      <c r="E88" s="871">
        <v>0</v>
      </c>
      <c r="F88" s="871">
        <f t="shared" si="5"/>
        <v>0</v>
      </c>
      <c r="G88" s="871">
        <v>0</v>
      </c>
      <c r="H88" s="871">
        <v>0</v>
      </c>
    </row>
    <row r="89" spans="1:8" x14ac:dyDescent="0.25">
      <c r="A89" s="371">
        <v>80</v>
      </c>
      <c r="B89" s="372" t="s">
        <v>173</v>
      </c>
      <c r="C89" s="376" t="s">
        <v>174</v>
      </c>
      <c r="D89" s="871">
        <f t="shared" si="4"/>
        <v>1500</v>
      </c>
      <c r="E89" s="871">
        <v>0</v>
      </c>
      <c r="F89" s="871">
        <f t="shared" si="5"/>
        <v>1500</v>
      </c>
      <c r="G89" s="871">
        <v>0</v>
      </c>
      <c r="H89" s="871">
        <v>1500</v>
      </c>
    </row>
    <row r="90" spans="1:8" x14ac:dyDescent="0.25">
      <c r="A90" s="379">
        <v>81</v>
      </c>
      <c r="B90" s="377" t="s">
        <v>175</v>
      </c>
      <c r="C90" s="69" t="s">
        <v>754</v>
      </c>
      <c r="D90" s="871">
        <f t="shared" si="4"/>
        <v>0</v>
      </c>
      <c r="E90" s="871">
        <v>0</v>
      </c>
      <c r="F90" s="871">
        <f t="shared" si="5"/>
        <v>0</v>
      </c>
      <c r="G90" s="871">
        <v>0</v>
      </c>
      <c r="H90" s="871">
        <v>0</v>
      </c>
    </row>
    <row r="91" spans="1:8" x14ac:dyDescent="0.25">
      <c r="A91" s="371">
        <v>82</v>
      </c>
      <c r="B91" s="374" t="s">
        <v>177</v>
      </c>
      <c r="C91" s="376" t="s">
        <v>358</v>
      </c>
      <c r="D91" s="871">
        <f t="shared" si="4"/>
        <v>0</v>
      </c>
      <c r="E91" s="871">
        <v>0</v>
      </c>
      <c r="F91" s="871">
        <f t="shared" si="5"/>
        <v>0</v>
      </c>
      <c r="G91" s="871">
        <v>0</v>
      </c>
      <c r="H91" s="871">
        <v>0</v>
      </c>
    </row>
    <row r="92" spans="1:8" ht="24" x14ac:dyDescent="0.25">
      <c r="A92" s="1048">
        <v>83</v>
      </c>
      <c r="B92" s="1051" t="s">
        <v>178</v>
      </c>
      <c r="C92" s="383" t="s">
        <v>752</v>
      </c>
      <c r="D92" s="871">
        <f t="shared" si="4"/>
        <v>0</v>
      </c>
      <c r="E92" s="871">
        <v>0</v>
      </c>
      <c r="F92" s="871">
        <f t="shared" si="5"/>
        <v>0</v>
      </c>
      <c r="G92" s="871">
        <v>0</v>
      </c>
      <c r="H92" s="871">
        <v>0</v>
      </c>
    </row>
    <row r="93" spans="1:8" x14ac:dyDescent="0.25">
      <c r="A93" s="1049"/>
      <c r="B93" s="1052"/>
      <c r="C93" s="376" t="s">
        <v>180</v>
      </c>
      <c r="D93" s="871">
        <f t="shared" si="4"/>
        <v>0</v>
      </c>
      <c r="E93" s="871">
        <v>0</v>
      </c>
      <c r="F93" s="871">
        <f t="shared" si="5"/>
        <v>0</v>
      </c>
      <c r="G93" s="871">
        <v>0</v>
      </c>
      <c r="H93" s="871">
        <v>0</v>
      </c>
    </row>
    <row r="94" spans="1:8" ht="24" x14ac:dyDescent="0.25">
      <c r="A94" s="1050"/>
      <c r="B94" s="1053"/>
      <c r="C94" s="384" t="s">
        <v>753</v>
      </c>
      <c r="D94" s="871">
        <f t="shared" si="4"/>
        <v>0</v>
      </c>
      <c r="E94" s="871">
        <v>0</v>
      </c>
      <c r="F94" s="871">
        <f t="shared" si="5"/>
        <v>0</v>
      </c>
      <c r="G94" s="871">
        <v>0</v>
      </c>
      <c r="H94" s="871">
        <v>0</v>
      </c>
    </row>
    <row r="95" spans="1:8" x14ac:dyDescent="0.25">
      <c r="A95" s="371">
        <v>84</v>
      </c>
      <c r="B95" s="374" t="s">
        <v>181</v>
      </c>
      <c r="C95" s="373" t="s">
        <v>182</v>
      </c>
      <c r="D95" s="871">
        <f t="shared" si="4"/>
        <v>0</v>
      </c>
      <c r="E95" s="871">
        <v>0</v>
      </c>
      <c r="F95" s="871">
        <f t="shared" si="5"/>
        <v>0</v>
      </c>
      <c r="G95" s="871">
        <v>0</v>
      </c>
      <c r="H95" s="871">
        <v>0</v>
      </c>
    </row>
    <row r="96" spans="1:8" x14ac:dyDescent="0.25">
      <c r="A96" s="371">
        <v>85</v>
      </c>
      <c r="B96" s="374" t="s">
        <v>183</v>
      </c>
      <c r="C96" s="378" t="s">
        <v>184</v>
      </c>
      <c r="D96" s="871">
        <f t="shared" si="4"/>
        <v>0</v>
      </c>
      <c r="E96" s="871">
        <v>0</v>
      </c>
      <c r="F96" s="871">
        <f t="shared" si="5"/>
        <v>0</v>
      </c>
      <c r="G96" s="871">
        <v>0</v>
      </c>
      <c r="H96" s="871">
        <v>0</v>
      </c>
    </row>
    <row r="97" spans="1:8" x14ac:dyDescent="0.25">
      <c r="A97" s="371">
        <v>86</v>
      </c>
      <c r="B97" s="375" t="s">
        <v>185</v>
      </c>
      <c r="C97" s="376" t="s">
        <v>186</v>
      </c>
      <c r="D97" s="871">
        <f t="shared" si="4"/>
        <v>1000</v>
      </c>
      <c r="E97" s="871">
        <v>0</v>
      </c>
      <c r="F97" s="871">
        <f t="shared" si="5"/>
        <v>1000</v>
      </c>
      <c r="G97" s="871">
        <v>0</v>
      </c>
      <c r="H97" s="871">
        <v>1000</v>
      </c>
    </row>
    <row r="98" spans="1:8" x14ac:dyDescent="0.25">
      <c r="A98" s="371">
        <v>87</v>
      </c>
      <c r="B98" s="374" t="s">
        <v>187</v>
      </c>
      <c r="C98" s="373" t="s">
        <v>188</v>
      </c>
      <c r="D98" s="871">
        <f t="shared" si="4"/>
        <v>0</v>
      </c>
      <c r="E98" s="871">
        <v>0</v>
      </c>
      <c r="F98" s="871">
        <f t="shared" si="5"/>
        <v>0</v>
      </c>
      <c r="G98" s="871">
        <v>0</v>
      </c>
      <c r="H98" s="871">
        <v>0</v>
      </c>
    </row>
    <row r="99" spans="1:8" x14ac:dyDescent="0.25">
      <c r="A99" s="371">
        <v>88</v>
      </c>
      <c r="B99" s="375" t="s">
        <v>189</v>
      </c>
      <c r="C99" s="376" t="s">
        <v>190</v>
      </c>
      <c r="D99" s="871">
        <f t="shared" si="4"/>
        <v>2960</v>
      </c>
      <c r="E99" s="871">
        <v>0</v>
      </c>
      <c r="F99" s="871">
        <f t="shared" si="5"/>
        <v>2960</v>
      </c>
      <c r="G99" s="871">
        <v>0</v>
      </c>
      <c r="H99" s="871">
        <v>2960</v>
      </c>
    </row>
    <row r="100" spans="1:8" x14ac:dyDescent="0.25">
      <c r="A100" s="371">
        <v>89</v>
      </c>
      <c r="B100" s="375" t="s">
        <v>191</v>
      </c>
      <c r="C100" s="376" t="s">
        <v>192</v>
      </c>
      <c r="D100" s="871">
        <f t="shared" si="4"/>
        <v>8000</v>
      </c>
      <c r="E100" s="871">
        <v>0</v>
      </c>
      <c r="F100" s="871">
        <f t="shared" si="5"/>
        <v>8000</v>
      </c>
      <c r="G100" s="871">
        <v>2000</v>
      </c>
      <c r="H100" s="871">
        <v>6000</v>
      </c>
    </row>
    <row r="101" spans="1:8" x14ac:dyDescent="0.25">
      <c r="A101" s="371">
        <v>90</v>
      </c>
      <c r="B101" s="374" t="s">
        <v>193</v>
      </c>
      <c r="C101" s="378" t="s">
        <v>194</v>
      </c>
      <c r="D101" s="871">
        <f t="shared" si="4"/>
        <v>6620</v>
      </c>
      <c r="E101" s="871">
        <v>0</v>
      </c>
      <c r="F101" s="871">
        <f t="shared" si="5"/>
        <v>6620</v>
      </c>
      <c r="G101" s="871">
        <v>0</v>
      </c>
      <c r="H101" s="871">
        <v>6620</v>
      </c>
    </row>
    <row r="102" spans="1:8" x14ac:dyDescent="0.25">
      <c r="A102" s="371">
        <v>91</v>
      </c>
      <c r="B102" s="374" t="s">
        <v>195</v>
      </c>
      <c r="C102" s="373" t="s">
        <v>196</v>
      </c>
      <c r="D102" s="871">
        <f t="shared" si="4"/>
        <v>0</v>
      </c>
      <c r="E102" s="871">
        <v>0</v>
      </c>
      <c r="F102" s="871">
        <f t="shared" si="5"/>
        <v>0</v>
      </c>
      <c r="G102" s="871">
        <v>0</v>
      </c>
      <c r="H102" s="871">
        <v>0</v>
      </c>
    </row>
    <row r="103" spans="1:8" x14ac:dyDescent="0.25">
      <c r="A103" s="371">
        <v>92</v>
      </c>
      <c r="B103" s="372" t="s">
        <v>197</v>
      </c>
      <c r="C103" s="373" t="s">
        <v>198</v>
      </c>
      <c r="D103" s="871">
        <f t="shared" si="4"/>
        <v>2300</v>
      </c>
      <c r="E103" s="871">
        <v>0</v>
      </c>
      <c r="F103" s="871">
        <f t="shared" si="5"/>
        <v>2300</v>
      </c>
      <c r="G103" s="871">
        <v>2300</v>
      </c>
      <c r="H103" s="871">
        <v>0</v>
      </c>
    </row>
    <row r="104" spans="1:8" x14ac:dyDescent="0.25">
      <c r="A104" s="371">
        <v>93</v>
      </c>
      <c r="B104" s="372" t="s">
        <v>199</v>
      </c>
      <c r="C104" s="373" t="s">
        <v>200</v>
      </c>
      <c r="D104" s="871">
        <f t="shared" si="4"/>
        <v>7477</v>
      </c>
      <c r="E104" s="871">
        <v>0</v>
      </c>
      <c r="F104" s="871">
        <f t="shared" si="5"/>
        <v>7477</v>
      </c>
      <c r="G104" s="871">
        <v>1440</v>
      </c>
      <c r="H104" s="871">
        <v>6037</v>
      </c>
    </row>
    <row r="105" spans="1:8" x14ac:dyDescent="0.25">
      <c r="A105" s="371">
        <v>94</v>
      </c>
      <c r="B105" s="375" t="s">
        <v>201</v>
      </c>
      <c r="C105" s="376" t="s">
        <v>202</v>
      </c>
      <c r="D105" s="871">
        <f t="shared" si="4"/>
        <v>2277</v>
      </c>
      <c r="E105" s="871">
        <v>0</v>
      </c>
      <c r="F105" s="871">
        <f t="shared" si="5"/>
        <v>2277</v>
      </c>
      <c r="G105" s="871">
        <v>2277</v>
      </c>
      <c r="H105" s="871">
        <v>0</v>
      </c>
    </row>
    <row r="106" spans="1:8" x14ac:dyDescent="0.25">
      <c r="A106" s="371">
        <v>95</v>
      </c>
      <c r="B106" s="377" t="s">
        <v>203</v>
      </c>
      <c r="C106" s="378" t="s">
        <v>204</v>
      </c>
      <c r="D106" s="871">
        <f t="shared" si="4"/>
        <v>4000</v>
      </c>
      <c r="E106" s="871">
        <v>0</v>
      </c>
      <c r="F106" s="871">
        <f t="shared" si="5"/>
        <v>4000</v>
      </c>
      <c r="G106" s="871">
        <v>0</v>
      </c>
      <c r="H106" s="871">
        <v>4000</v>
      </c>
    </row>
    <row r="107" spans="1:8" x14ac:dyDescent="0.25">
      <c r="A107" s="371">
        <v>96</v>
      </c>
      <c r="B107" s="372" t="s">
        <v>205</v>
      </c>
      <c r="C107" s="373" t="s">
        <v>206</v>
      </c>
      <c r="D107" s="871">
        <f t="shared" si="4"/>
        <v>5961</v>
      </c>
      <c r="E107" s="871">
        <v>0</v>
      </c>
      <c r="F107" s="871">
        <f t="shared" si="5"/>
        <v>5961</v>
      </c>
      <c r="G107" s="871">
        <v>1170</v>
      </c>
      <c r="H107" s="871">
        <v>4791</v>
      </c>
    </row>
    <row r="108" spans="1:8" x14ac:dyDescent="0.25">
      <c r="A108" s="371">
        <v>97</v>
      </c>
      <c r="B108" s="374" t="s">
        <v>207</v>
      </c>
      <c r="C108" s="373" t="s">
        <v>208</v>
      </c>
      <c r="D108" s="871">
        <f t="shared" si="4"/>
        <v>9780</v>
      </c>
      <c r="E108" s="871">
        <v>0</v>
      </c>
      <c r="F108" s="871">
        <f t="shared" si="5"/>
        <v>9780</v>
      </c>
      <c r="G108" s="871">
        <v>2700</v>
      </c>
      <c r="H108" s="871">
        <v>7080</v>
      </c>
    </row>
    <row r="109" spans="1:8" x14ac:dyDescent="0.25">
      <c r="A109" s="371">
        <v>98</v>
      </c>
      <c r="B109" s="375" t="s">
        <v>209</v>
      </c>
      <c r="C109" s="376" t="s">
        <v>210</v>
      </c>
      <c r="D109" s="871">
        <f t="shared" si="4"/>
        <v>1113</v>
      </c>
      <c r="E109" s="871">
        <v>0</v>
      </c>
      <c r="F109" s="871">
        <f t="shared" si="5"/>
        <v>1113</v>
      </c>
      <c r="G109" s="871">
        <v>1000</v>
      </c>
      <c r="H109" s="871">
        <v>113</v>
      </c>
    </row>
    <row r="110" spans="1:8" x14ac:dyDescent="0.25">
      <c r="A110" s="371">
        <v>99</v>
      </c>
      <c r="B110" s="375" t="s">
        <v>211</v>
      </c>
      <c r="C110" s="376" t="s">
        <v>212</v>
      </c>
      <c r="D110" s="871">
        <f t="shared" si="4"/>
        <v>6150</v>
      </c>
      <c r="E110" s="871">
        <v>0</v>
      </c>
      <c r="F110" s="871">
        <f t="shared" si="5"/>
        <v>6150</v>
      </c>
      <c r="G110" s="871">
        <v>2150</v>
      </c>
      <c r="H110" s="871">
        <v>4000</v>
      </c>
    </row>
    <row r="111" spans="1:8" x14ac:dyDescent="0.25">
      <c r="A111" s="371">
        <v>100</v>
      </c>
      <c r="B111" s="372" t="s">
        <v>213</v>
      </c>
      <c r="C111" s="373" t="s">
        <v>214</v>
      </c>
      <c r="D111" s="871">
        <f t="shared" si="4"/>
        <v>4600</v>
      </c>
      <c r="E111" s="871">
        <v>0</v>
      </c>
      <c r="F111" s="871">
        <f t="shared" si="5"/>
        <v>4600</v>
      </c>
      <c r="G111" s="871">
        <v>2600</v>
      </c>
      <c r="H111" s="871">
        <v>2000</v>
      </c>
    </row>
    <row r="112" spans="1:8" x14ac:dyDescent="0.25">
      <c r="A112" s="371">
        <v>101</v>
      </c>
      <c r="B112" s="374" t="s">
        <v>215</v>
      </c>
      <c r="C112" s="373" t="s">
        <v>216</v>
      </c>
      <c r="D112" s="871">
        <f t="shared" si="4"/>
        <v>5174</v>
      </c>
      <c r="E112" s="871">
        <v>0</v>
      </c>
      <c r="F112" s="871">
        <f t="shared" si="5"/>
        <v>5174</v>
      </c>
      <c r="G112" s="871">
        <v>1874</v>
      </c>
      <c r="H112" s="871">
        <v>3300</v>
      </c>
    </row>
    <row r="113" spans="1:8" x14ac:dyDescent="0.25">
      <c r="A113" s="371">
        <v>102</v>
      </c>
      <c r="B113" s="372" t="s">
        <v>217</v>
      </c>
      <c r="C113" s="376" t="s">
        <v>218</v>
      </c>
      <c r="D113" s="871">
        <f t="shared" si="4"/>
        <v>0</v>
      </c>
      <c r="E113" s="871">
        <v>0</v>
      </c>
      <c r="F113" s="871">
        <f t="shared" si="5"/>
        <v>0</v>
      </c>
      <c r="G113" s="871">
        <v>0</v>
      </c>
      <c r="H113" s="871">
        <v>0</v>
      </c>
    </row>
    <row r="114" spans="1:8" x14ac:dyDescent="0.25">
      <c r="A114" s="371">
        <v>103</v>
      </c>
      <c r="B114" s="372" t="s">
        <v>219</v>
      </c>
      <c r="C114" s="373" t="s">
        <v>220</v>
      </c>
      <c r="D114" s="871">
        <f t="shared" si="4"/>
        <v>0</v>
      </c>
      <c r="E114" s="871">
        <v>0</v>
      </c>
      <c r="F114" s="871">
        <f t="shared" si="5"/>
        <v>0</v>
      </c>
      <c r="G114" s="871">
        <v>0</v>
      </c>
      <c r="H114" s="871">
        <v>0</v>
      </c>
    </row>
    <row r="115" spans="1:8" x14ac:dyDescent="0.25">
      <c r="A115" s="371">
        <v>104</v>
      </c>
      <c r="B115" s="375" t="s">
        <v>221</v>
      </c>
      <c r="C115" s="376" t="s">
        <v>222</v>
      </c>
      <c r="D115" s="871">
        <f t="shared" si="4"/>
        <v>0</v>
      </c>
      <c r="E115" s="871">
        <v>0</v>
      </c>
      <c r="F115" s="871">
        <f t="shared" si="5"/>
        <v>0</v>
      </c>
      <c r="G115" s="871">
        <v>0</v>
      </c>
      <c r="H115" s="871">
        <v>0</v>
      </c>
    </row>
    <row r="116" spans="1:8" x14ac:dyDescent="0.25">
      <c r="A116" s="371">
        <v>105</v>
      </c>
      <c r="B116" s="375" t="s">
        <v>223</v>
      </c>
      <c r="C116" s="376" t="s">
        <v>224</v>
      </c>
      <c r="D116" s="871">
        <f t="shared" si="4"/>
        <v>0</v>
      </c>
      <c r="E116" s="871">
        <v>0</v>
      </c>
      <c r="F116" s="871">
        <f t="shared" si="5"/>
        <v>0</v>
      </c>
      <c r="G116" s="871">
        <v>0</v>
      </c>
      <c r="H116" s="871">
        <v>0</v>
      </c>
    </row>
    <row r="117" spans="1:8" x14ac:dyDescent="0.25">
      <c r="A117" s="371">
        <v>106</v>
      </c>
      <c r="B117" s="375" t="s">
        <v>225</v>
      </c>
      <c r="C117" s="376" t="s">
        <v>226</v>
      </c>
      <c r="D117" s="871">
        <f t="shared" si="4"/>
        <v>0</v>
      </c>
      <c r="E117" s="871">
        <v>0</v>
      </c>
      <c r="F117" s="871">
        <f t="shared" si="5"/>
        <v>0</v>
      </c>
      <c r="G117" s="871">
        <v>0</v>
      </c>
      <c r="H117" s="871">
        <v>0</v>
      </c>
    </row>
    <row r="118" spans="1:8" x14ac:dyDescent="0.25">
      <c r="A118" s="371">
        <v>107</v>
      </c>
      <c r="B118" s="375" t="s">
        <v>227</v>
      </c>
      <c r="C118" s="376" t="s">
        <v>228</v>
      </c>
      <c r="D118" s="871">
        <f t="shared" si="4"/>
        <v>0</v>
      </c>
      <c r="E118" s="871">
        <v>0</v>
      </c>
      <c r="F118" s="871">
        <f t="shared" si="5"/>
        <v>0</v>
      </c>
      <c r="G118" s="871">
        <v>0</v>
      </c>
      <c r="H118" s="871">
        <v>0</v>
      </c>
    </row>
    <row r="119" spans="1:8" x14ac:dyDescent="0.25">
      <c r="A119" s="371">
        <v>108</v>
      </c>
      <c r="B119" s="375" t="s">
        <v>229</v>
      </c>
      <c r="C119" s="376" t="s">
        <v>230</v>
      </c>
      <c r="D119" s="871">
        <f t="shared" si="4"/>
        <v>0</v>
      </c>
      <c r="E119" s="871">
        <v>0</v>
      </c>
      <c r="F119" s="871">
        <f t="shared" si="5"/>
        <v>0</v>
      </c>
      <c r="G119" s="871">
        <v>0</v>
      </c>
      <c r="H119" s="871">
        <v>0</v>
      </c>
    </row>
    <row r="120" spans="1:8" x14ac:dyDescent="0.25">
      <c r="A120" s="371">
        <v>109</v>
      </c>
      <c r="B120" s="375" t="s">
        <v>231</v>
      </c>
      <c r="C120" s="376" t="s">
        <v>232</v>
      </c>
      <c r="D120" s="871">
        <f t="shared" si="4"/>
        <v>0</v>
      </c>
      <c r="E120" s="871">
        <v>0</v>
      </c>
      <c r="F120" s="871">
        <f t="shared" si="5"/>
        <v>0</v>
      </c>
      <c r="G120" s="871">
        <v>0</v>
      </c>
      <c r="H120" s="871">
        <v>0</v>
      </c>
    </row>
    <row r="121" spans="1:8" x14ac:dyDescent="0.25">
      <c r="A121" s="371">
        <v>110</v>
      </c>
      <c r="B121" s="385" t="s">
        <v>233</v>
      </c>
      <c r="C121" s="386" t="s">
        <v>234</v>
      </c>
      <c r="D121" s="871">
        <f t="shared" si="4"/>
        <v>0</v>
      </c>
      <c r="E121" s="871">
        <v>0</v>
      </c>
      <c r="F121" s="871">
        <f t="shared" si="5"/>
        <v>0</v>
      </c>
      <c r="G121" s="871">
        <v>0</v>
      </c>
      <c r="H121" s="871">
        <v>0</v>
      </c>
    </row>
    <row r="122" spans="1:8" x14ac:dyDescent="0.25">
      <c r="A122" s="371">
        <v>111</v>
      </c>
      <c r="B122" s="385" t="s">
        <v>235</v>
      </c>
      <c r="C122" s="386" t="s">
        <v>236</v>
      </c>
      <c r="D122" s="871">
        <f t="shared" si="4"/>
        <v>0</v>
      </c>
      <c r="E122" s="871">
        <v>0</v>
      </c>
      <c r="F122" s="871">
        <f t="shared" si="5"/>
        <v>0</v>
      </c>
      <c r="G122" s="871">
        <v>0</v>
      </c>
      <c r="H122" s="871">
        <v>0</v>
      </c>
    </row>
    <row r="123" spans="1:8" x14ac:dyDescent="0.25">
      <c r="A123" s="371">
        <v>112</v>
      </c>
      <c r="B123" s="374" t="s">
        <v>237</v>
      </c>
      <c r="C123" s="373" t="s">
        <v>238</v>
      </c>
      <c r="D123" s="871">
        <f t="shared" si="4"/>
        <v>0</v>
      </c>
      <c r="E123" s="871">
        <v>0</v>
      </c>
      <c r="F123" s="871">
        <f t="shared" si="5"/>
        <v>0</v>
      </c>
      <c r="G123" s="871">
        <v>0</v>
      </c>
      <c r="H123" s="871">
        <v>0</v>
      </c>
    </row>
    <row r="124" spans="1:8" x14ac:dyDescent="0.25">
      <c r="A124" s="371">
        <v>113</v>
      </c>
      <c r="B124" s="375" t="s">
        <v>239</v>
      </c>
      <c r="C124" s="376" t="s">
        <v>240</v>
      </c>
      <c r="D124" s="871">
        <f t="shared" si="4"/>
        <v>0</v>
      </c>
      <c r="E124" s="871">
        <v>0</v>
      </c>
      <c r="F124" s="871">
        <f t="shared" si="5"/>
        <v>0</v>
      </c>
      <c r="G124" s="871">
        <v>0</v>
      </c>
      <c r="H124" s="871">
        <v>0</v>
      </c>
    </row>
    <row r="125" spans="1:8" x14ac:dyDescent="0.25">
      <c r="A125" s="371">
        <v>114</v>
      </c>
      <c r="B125" s="372" t="s">
        <v>241</v>
      </c>
      <c r="C125" s="387" t="s">
        <v>242</v>
      </c>
      <c r="D125" s="871">
        <f t="shared" si="4"/>
        <v>0</v>
      </c>
      <c r="E125" s="871">
        <v>0</v>
      </c>
      <c r="F125" s="871">
        <f t="shared" si="5"/>
        <v>0</v>
      </c>
      <c r="G125" s="871">
        <v>0</v>
      </c>
      <c r="H125" s="871">
        <v>0</v>
      </c>
    </row>
    <row r="126" spans="1:8" x14ac:dyDescent="0.25">
      <c r="A126" s="371">
        <v>115</v>
      </c>
      <c r="B126" s="375" t="s">
        <v>243</v>
      </c>
      <c r="C126" s="378" t="s">
        <v>385</v>
      </c>
      <c r="D126" s="871">
        <f t="shared" si="4"/>
        <v>0</v>
      </c>
      <c r="E126" s="871">
        <v>0</v>
      </c>
      <c r="F126" s="871">
        <f t="shared" si="5"/>
        <v>0</v>
      </c>
      <c r="G126" s="871">
        <v>0</v>
      </c>
      <c r="H126" s="871">
        <v>0</v>
      </c>
    </row>
    <row r="127" spans="1:8" x14ac:dyDescent="0.25">
      <c r="A127" s="371">
        <v>116</v>
      </c>
      <c r="B127" s="374" t="s">
        <v>244</v>
      </c>
      <c r="C127" s="376" t="s">
        <v>245</v>
      </c>
      <c r="D127" s="871">
        <f t="shared" si="4"/>
        <v>0</v>
      </c>
      <c r="E127" s="871">
        <v>0</v>
      </c>
      <c r="F127" s="871">
        <f t="shared" si="5"/>
        <v>0</v>
      </c>
      <c r="G127" s="871">
        <v>0</v>
      </c>
      <c r="H127" s="871">
        <v>0</v>
      </c>
    </row>
    <row r="128" spans="1:8" x14ac:dyDescent="0.25">
      <c r="A128" s="371">
        <v>117</v>
      </c>
      <c r="B128" s="374" t="s">
        <v>246</v>
      </c>
      <c r="C128" s="376" t="s">
        <v>247</v>
      </c>
      <c r="D128" s="871">
        <f t="shared" si="4"/>
        <v>0</v>
      </c>
      <c r="E128" s="871">
        <v>0</v>
      </c>
      <c r="F128" s="871">
        <f t="shared" si="5"/>
        <v>0</v>
      </c>
      <c r="G128" s="871">
        <v>0</v>
      </c>
      <c r="H128" s="871">
        <v>0</v>
      </c>
    </row>
    <row r="129" spans="1:8" x14ac:dyDescent="0.25">
      <c r="A129" s="371">
        <v>118</v>
      </c>
      <c r="B129" s="374" t="s">
        <v>248</v>
      </c>
      <c r="C129" s="376" t="s">
        <v>249</v>
      </c>
      <c r="D129" s="871">
        <f t="shared" si="4"/>
        <v>0</v>
      </c>
      <c r="E129" s="871">
        <v>0</v>
      </c>
      <c r="F129" s="871">
        <f t="shared" si="5"/>
        <v>0</v>
      </c>
      <c r="G129" s="871">
        <v>0</v>
      </c>
      <c r="H129" s="871">
        <v>0</v>
      </c>
    </row>
    <row r="130" spans="1:8" x14ac:dyDescent="0.25">
      <c r="A130" s="371">
        <v>119</v>
      </c>
      <c r="B130" s="372" t="s">
        <v>250</v>
      </c>
      <c r="C130" s="373" t="s">
        <v>251</v>
      </c>
      <c r="D130" s="871">
        <f t="shared" si="4"/>
        <v>0</v>
      </c>
      <c r="E130" s="871">
        <v>0</v>
      </c>
      <c r="F130" s="871">
        <f t="shared" si="5"/>
        <v>0</v>
      </c>
      <c r="G130" s="871">
        <v>0</v>
      </c>
      <c r="H130" s="871">
        <v>0</v>
      </c>
    </row>
    <row r="131" spans="1:8" x14ac:dyDescent="0.25">
      <c r="A131" s="371">
        <v>120</v>
      </c>
      <c r="B131" s="374" t="s">
        <v>252</v>
      </c>
      <c r="C131" s="373" t="s">
        <v>253</v>
      </c>
      <c r="D131" s="871">
        <f t="shared" si="4"/>
        <v>0</v>
      </c>
      <c r="E131" s="871">
        <v>0</v>
      </c>
      <c r="F131" s="871">
        <f t="shared" si="5"/>
        <v>0</v>
      </c>
      <c r="G131" s="871">
        <v>0</v>
      </c>
      <c r="H131" s="871">
        <v>0</v>
      </c>
    </row>
    <row r="132" spans="1:8" x14ac:dyDescent="0.25">
      <c r="A132" s="371">
        <v>121</v>
      </c>
      <c r="B132" s="375" t="s">
        <v>254</v>
      </c>
      <c r="C132" s="376" t="s">
        <v>255</v>
      </c>
      <c r="D132" s="871">
        <f t="shared" si="4"/>
        <v>0</v>
      </c>
      <c r="E132" s="871">
        <v>0</v>
      </c>
      <c r="F132" s="871">
        <f t="shared" si="5"/>
        <v>0</v>
      </c>
      <c r="G132" s="871">
        <v>0</v>
      </c>
      <c r="H132" s="871">
        <v>0</v>
      </c>
    </row>
    <row r="133" spans="1:8" x14ac:dyDescent="0.25">
      <c r="A133" s="371">
        <v>122</v>
      </c>
      <c r="B133" s="375" t="s">
        <v>256</v>
      </c>
      <c r="C133" s="376" t="s">
        <v>257</v>
      </c>
      <c r="D133" s="871">
        <f t="shared" si="4"/>
        <v>0</v>
      </c>
      <c r="E133" s="871">
        <v>0</v>
      </c>
      <c r="F133" s="871">
        <f t="shared" si="5"/>
        <v>0</v>
      </c>
      <c r="G133" s="871">
        <v>0</v>
      </c>
      <c r="H133" s="871">
        <v>0</v>
      </c>
    </row>
    <row r="134" spans="1:8" x14ac:dyDescent="0.25">
      <c r="A134" s="371">
        <v>123</v>
      </c>
      <c r="B134" s="375" t="s">
        <v>258</v>
      </c>
      <c r="C134" s="376" t="s">
        <v>259</v>
      </c>
      <c r="D134" s="871">
        <f t="shared" si="4"/>
        <v>0</v>
      </c>
      <c r="E134" s="871">
        <v>0</v>
      </c>
      <c r="F134" s="871">
        <f t="shared" si="5"/>
        <v>0</v>
      </c>
      <c r="G134" s="871">
        <v>0</v>
      </c>
      <c r="H134" s="871">
        <v>0</v>
      </c>
    </row>
    <row r="135" spans="1:8" x14ac:dyDescent="0.25">
      <c r="A135" s="371">
        <v>124</v>
      </c>
      <c r="B135" s="375" t="s">
        <v>260</v>
      </c>
      <c r="C135" s="376" t="s">
        <v>261</v>
      </c>
      <c r="D135" s="871">
        <f t="shared" si="4"/>
        <v>0</v>
      </c>
      <c r="E135" s="871">
        <v>0</v>
      </c>
      <c r="F135" s="871">
        <f t="shared" si="5"/>
        <v>0</v>
      </c>
      <c r="G135" s="871">
        <v>0</v>
      </c>
      <c r="H135" s="871">
        <v>0</v>
      </c>
    </row>
    <row r="136" spans="1:8" x14ac:dyDescent="0.25">
      <c r="A136" s="371">
        <v>125</v>
      </c>
      <c r="B136" s="375" t="s">
        <v>262</v>
      </c>
      <c r="C136" s="376" t="s">
        <v>263</v>
      </c>
      <c r="D136" s="871">
        <f t="shared" si="4"/>
        <v>0</v>
      </c>
      <c r="E136" s="871">
        <v>0</v>
      </c>
      <c r="F136" s="871">
        <f t="shared" si="5"/>
        <v>0</v>
      </c>
      <c r="G136" s="871">
        <v>0</v>
      </c>
      <c r="H136" s="871">
        <v>0</v>
      </c>
    </row>
    <row r="137" spans="1:8" x14ac:dyDescent="0.25">
      <c r="A137" s="371">
        <v>126</v>
      </c>
      <c r="B137" s="372" t="s">
        <v>264</v>
      </c>
      <c r="C137" s="373" t="s">
        <v>265</v>
      </c>
      <c r="D137" s="871">
        <f t="shared" si="4"/>
        <v>0</v>
      </c>
      <c r="E137" s="871">
        <v>0</v>
      </c>
      <c r="F137" s="871">
        <f t="shared" si="5"/>
        <v>0</v>
      </c>
      <c r="G137" s="871">
        <v>0</v>
      </c>
      <c r="H137" s="871">
        <v>0</v>
      </c>
    </row>
    <row r="138" spans="1:8" x14ac:dyDescent="0.25">
      <c r="A138" s="371">
        <v>127</v>
      </c>
      <c r="B138" s="372" t="s">
        <v>266</v>
      </c>
      <c r="C138" s="376" t="s">
        <v>267</v>
      </c>
      <c r="D138" s="871">
        <f t="shared" ref="D138:D151" si="6">E138+F138</f>
        <v>0</v>
      </c>
      <c r="E138" s="871">
        <v>0</v>
      </c>
      <c r="F138" s="871">
        <f t="shared" ref="F138:F151" si="7">SUM(G138:H138)</f>
        <v>0</v>
      </c>
      <c r="G138" s="871">
        <v>0</v>
      </c>
      <c r="H138" s="871">
        <v>0</v>
      </c>
    </row>
    <row r="139" spans="1:8" x14ac:dyDescent="0.25">
      <c r="A139" s="371">
        <v>128</v>
      </c>
      <c r="B139" s="377" t="s">
        <v>268</v>
      </c>
      <c r="C139" s="378" t="s">
        <v>269</v>
      </c>
      <c r="D139" s="871">
        <f t="shared" si="6"/>
        <v>0</v>
      </c>
      <c r="E139" s="871">
        <v>0</v>
      </c>
      <c r="F139" s="871">
        <f t="shared" si="7"/>
        <v>0</v>
      </c>
      <c r="G139" s="871">
        <v>0</v>
      </c>
      <c r="H139" s="871">
        <v>0</v>
      </c>
    </row>
    <row r="140" spans="1:8" x14ac:dyDescent="0.25">
      <c r="A140" s="371">
        <v>129</v>
      </c>
      <c r="B140" s="375" t="s">
        <v>270</v>
      </c>
      <c r="C140" s="376" t="s">
        <v>271</v>
      </c>
      <c r="D140" s="871">
        <f t="shared" si="6"/>
        <v>0</v>
      </c>
      <c r="E140" s="871">
        <v>0</v>
      </c>
      <c r="F140" s="871">
        <f t="shared" si="7"/>
        <v>0</v>
      </c>
      <c r="G140" s="871">
        <v>0</v>
      </c>
      <c r="H140" s="871">
        <v>0</v>
      </c>
    </row>
    <row r="141" spans="1:8" x14ac:dyDescent="0.25">
      <c r="A141" s="371">
        <v>130</v>
      </c>
      <c r="B141" s="375" t="s">
        <v>272</v>
      </c>
      <c r="C141" s="376" t="s">
        <v>273</v>
      </c>
      <c r="D141" s="871">
        <f t="shared" si="6"/>
        <v>0</v>
      </c>
      <c r="E141" s="871">
        <v>0</v>
      </c>
      <c r="F141" s="871">
        <f t="shared" si="7"/>
        <v>0</v>
      </c>
      <c r="G141" s="871">
        <v>0</v>
      </c>
      <c r="H141" s="871">
        <v>0</v>
      </c>
    </row>
    <row r="142" spans="1:8" x14ac:dyDescent="0.25">
      <c r="A142" s="371">
        <v>131</v>
      </c>
      <c r="B142" s="375" t="s">
        <v>274</v>
      </c>
      <c r="C142" s="376" t="s">
        <v>275</v>
      </c>
      <c r="D142" s="871">
        <f t="shared" si="6"/>
        <v>0</v>
      </c>
      <c r="E142" s="871">
        <v>0</v>
      </c>
      <c r="F142" s="871">
        <f t="shared" si="7"/>
        <v>0</v>
      </c>
      <c r="G142" s="871">
        <v>0</v>
      </c>
      <c r="H142" s="871">
        <v>0</v>
      </c>
    </row>
    <row r="143" spans="1:8" x14ac:dyDescent="0.25">
      <c r="A143" s="371">
        <v>132</v>
      </c>
      <c r="B143" s="377" t="s">
        <v>276</v>
      </c>
      <c r="C143" s="378" t="s">
        <v>277</v>
      </c>
      <c r="D143" s="871">
        <f t="shared" si="6"/>
        <v>0</v>
      </c>
      <c r="E143" s="871">
        <v>0</v>
      </c>
      <c r="F143" s="871">
        <f t="shared" si="7"/>
        <v>0</v>
      </c>
      <c r="G143" s="871">
        <v>0</v>
      </c>
      <c r="H143" s="871">
        <v>0</v>
      </c>
    </row>
    <row r="144" spans="1:8" x14ac:dyDescent="0.25">
      <c r="A144" s="371">
        <v>133</v>
      </c>
      <c r="B144" s="374" t="s">
        <v>278</v>
      </c>
      <c r="C144" s="378" t="s">
        <v>279</v>
      </c>
      <c r="D144" s="871">
        <f t="shared" si="6"/>
        <v>2770</v>
      </c>
      <c r="E144" s="871">
        <v>0</v>
      </c>
      <c r="F144" s="871">
        <f t="shared" si="7"/>
        <v>2770</v>
      </c>
      <c r="G144" s="871">
        <v>0</v>
      </c>
      <c r="H144" s="871">
        <v>2770</v>
      </c>
    </row>
    <row r="145" spans="1:8" x14ac:dyDescent="0.25">
      <c r="A145" s="371">
        <v>134</v>
      </c>
      <c r="B145" s="375" t="s">
        <v>280</v>
      </c>
      <c r="C145" s="376" t="s">
        <v>281</v>
      </c>
      <c r="D145" s="871">
        <f t="shared" si="6"/>
        <v>0</v>
      </c>
      <c r="E145" s="871">
        <v>0</v>
      </c>
      <c r="F145" s="871">
        <f t="shared" si="7"/>
        <v>0</v>
      </c>
      <c r="G145" s="871">
        <v>0</v>
      </c>
      <c r="H145" s="871">
        <v>0</v>
      </c>
    </row>
    <row r="146" spans="1:8" x14ac:dyDescent="0.25">
      <c r="A146" s="371">
        <v>135</v>
      </c>
      <c r="B146" s="372" t="s">
        <v>282</v>
      </c>
      <c r="C146" s="373" t="s">
        <v>283</v>
      </c>
      <c r="D146" s="871">
        <f t="shared" si="6"/>
        <v>0</v>
      </c>
      <c r="E146" s="871">
        <v>0</v>
      </c>
      <c r="F146" s="871">
        <f t="shared" si="7"/>
        <v>0</v>
      </c>
      <c r="G146" s="871">
        <v>0</v>
      </c>
      <c r="H146" s="871">
        <v>0</v>
      </c>
    </row>
    <row r="147" spans="1:8" x14ac:dyDescent="0.25">
      <c r="A147" s="371">
        <v>136</v>
      </c>
      <c r="B147" s="388" t="s">
        <v>284</v>
      </c>
      <c r="C147" s="389" t="s">
        <v>285</v>
      </c>
      <c r="D147" s="871">
        <f t="shared" si="6"/>
        <v>0</v>
      </c>
      <c r="E147" s="871">
        <v>0</v>
      </c>
      <c r="F147" s="871">
        <f t="shared" si="7"/>
        <v>0</v>
      </c>
      <c r="G147" s="871">
        <v>0</v>
      </c>
      <c r="H147" s="871">
        <v>0</v>
      </c>
    </row>
    <row r="148" spans="1:8" x14ac:dyDescent="0.25">
      <c r="A148" s="371">
        <v>137</v>
      </c>
      <c r="B148" s="390" t="s">
        <v>387</v>
      </c>
      <c r="C148" s="391" t="s">
        <v>388</v>
      </c>
      <c r="D148" s="871">
        <f t="shared" si="6"/>
        <v>0</v>
      </c>
      <c r="E148" s="871">
        <v>0</v>
      </c>
      <c r="F148" s="871">
        <f t="shared" si="7"/>
        <v>0</v>
      </c>
      <c r="G148" s="871">
        <v>0</v>
      </c>
      <c r="H148" s="871">
        <v>0</v>
      </c>
    </row>
    <row r="149" spans="1:8" x14ac:dyDescent="0.25">
      <c r="A149" s="371">
        <v>138</v>
      </c>
      <c r="B149" s="392" t="s">
        <v>389</v>
      </c>
      <c r="C149" s="393" t="s">
        <v>390</v>
      </c>
      <c r="D149" s="871">
        <f t="shared" si="6"/>
        <v>0</v>
      </c>
      <c r="E149" s="871">
        <v>0</v>
      </c>
      <c r="F149" s="871">
        <f t="shared" si="7"/>
        <v>0</v>
      </c>
      <c r="G149" s="871">
        <v>0</v>
      </c>
      <c r="H149" s="871">
        <v>0</v>
      </c>
    </row>
    <row r="150" spans="1:8" x14ac:dyDescent="0.25">
      <c r="A150" s="371">
        <v>139</v>
      </c>
      <c r="B150" s="873" t="s">
        <v>391</v>
      </c>
      <c r="C150" s="874" t="s">
        <v>392</v>
      </c>
      <c r="D150" s="871">
        <f t="shared" si="6"/>
        <v>0</v>
      </c>
      <c r="E150" s="871">
        <v>0</v>
      </c>
      <c r="F150" s="871">
        <f t="shared" si="7"/>
        <v>0</v>
      </c>
      <c r="G150" s="871">
        <v>0</v>
      </c>
      <c r="H150" s="871">
        <v>0</v>
      </c>
    </row>
    <row r="151" spans="1:8" x14ac:dyDescent="0.25">
      <c r="A151" s="371">
        <v>140</v>
      </c>
      <c r="B151" s="371" t="s">
        <v>393</v>
      </c>
      <c r="C151" s="394" t="s">
        <v>394</v>
      </c>
      <c r="D151" s="871">
        <f t="shared" si="6"/>
        <v>0</v>
      </c>
      <c r="E151" s="871">
        <v>0</v>
      </c>
      <c r="F151" s="871">
        <f t="shared" si="7"/>
        <v>0</v>
      </c>
      <c r="G151" s="871">
        <v>0</v>
      </c>
      <c r="H151" s="871">
        <v>0</v>
      </c>
    </row>
    <row r="155" spans="1:8" x14ac:dyDescent="0.25">
      <c r="D155" s="395"/>
      <c r="E155" s="395"/>
      <c r="F155" s="395"/>
      <c r="G155" s="395"/>
      <c r="H155" s="395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50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157" sqref="C156:C157"/>
    </sheetView>
  </sheetViews>
  <sheetFormatPr defaultColWidth="10.7109375" defaultRowHeight="15" x14ac:dyDescent="0.25"/>
  <cols>
    <col min="1" max="1" width="8.28515625" style="540" customWidth="1"/>
    <col min="2" max="2" width="10.5703125" style="540" customWidth="1"/>
    <col min="3" max="3" width="44.85546875" style="539" customWidth="1"/>
    <col min="4" max="4" width="14.28515625" style="539" customWidth="1"/>
    <col min="5" max="8" width="15.7109375" style="539" customWidth="1"/>
    <col min="9" max="9" width="10.7109375" style="539"/>
    <col min="10" max="10" width="20.5703125" style="539" customWidth="1"/>
    <col min="11" max="16384" width="10.7109375" style="539"/>
  </cols>
  <sheetData>
    <row r="1" spans="1:11" ht="30" customHeight="1" x14ac:dyDescent="0.25">
      <c r="A1" s="1061" t="s">
        <v>785</v>
      </c>
      <c r="B1" s="1061"/>
      <c r="C1" s="1061"/>
      <c r="D1" s="1061"/>
      <c r="E1" s="1061"/>
      <c r="F1" s="1061"/>
      <c r="G1" s="1061"/>
      <c r="H1" s="875"/>
    </row>
    <row r="2" spans="1:11" ht="9.75" customHeight="1" x14ac:dyDescent="0.25">
      <c r="C2" s="541"/>
    </row>
    <row r="3" spans="1:11" s="542" customFormat="1" ht="39.75" customHeight="1" x14ac:dyDescent="0.2">
      <c r="A3" s="1055" t="s">
        <v>0</v>
      </c>
      <c r="B3" s="1062" t="s">
        <v>302</v>
      </c>
      <c r="C3" s="1065" t="s">
        <v>2</v>
      </c>
      <c r="D3" s="1066" t="s">
        <v>786</v>
      </c>
      <c r="E3" s="1066"/>
      <c r="F3" s="1066"/>
      <c r="G3" s="1066"/>
    </row>
    <row r="4" spans="1:11" s="542" customFormat="1" ht="25.5" customHeight="1" x14ac:dyDescent="0.2">
      <c r="A4" s="1056"/>
      <c r="B4" s="1063"/>
      <c r="C4" s="1065"/>
      <c r="D4" s="1067" t="s">
        <v>787</v>
      </c>
      <c r="E4" s="1069" t="s">
        <v>4</v>
      </c>
      <c r="F4" s="1069"/>
      <c r="G4" s="1069"/>
    </row>
    <row r="5" spans="1:11" s="542" customFormat="1" ht="59.25" customHeight="1" x14ac:dyDescent="0.2">
      <c r="A5" s="1057"/>
      <c r="B5" s="1064"/>
      <c r="C5" s="1065"/>
      <c r="D5" s="1068"/>
      <c r="E5" s="876" t="s">
        <v>788</v>
      </c>
      <c r="F5" s="876" t="s">
        <v>789</v>
      </c>
      <c r="G5" s="876" t="s">
        <v>790</v>
      </c>
    </row>
    <row r="6" spans="1:11" s="542" customFormat="1" ht="12.75" customHeight="1" x14ac:dyDescent="0.2">
      <c r="A6" s="819">
        <v>1</v>
      </c>
      <c r="B6" s="543">
        <v>2</v>
      </c>
      <c r="C6" s="820">
        <v>3</v>
      </c>
      <c r="D6" s="877">
        <v>4</v>
      </c>
      <c r="E6" s="878">
        <v>5</v>
      </c>
      <c r="F6" s="878">
        <v>6</v>
      </c>
      <c r="G6" s="878">
        <v>7</v>
      </c>
    </row>
    <row r="7" spans="1:11" s="542" customFormat="1" ht="21" customHeight="1" x14ac:dyDescent="0.2">
      <c r="A7" s="1054" t="s">
        <v>308</v>
      </c>
      <c r="B7" s="1054"/>
      <c r="C7" s="1054"/>
      <c r="D7" s="879">
        <f>SUM(D8:D145)</f>
        <v>48575</v>
      </c>
      <c r="E7" s="879">
        <f t="shared" ref="E7:G7" si="0">SUM(E8:E145)</f>
        <v>6857</v>
      </c>
      <c r="F7" s="879">
        <f t="shared" si="0"/>
        <v>41118</v>
      </c>
      <c r="G7" s="879">
        <f t="shared" si="0"/>
        <v>600</v>
      </c>
      <c r="J7" s="880"/>
    </row>
    <row r="8" spans="1:11" x14ac:dyDescent="0.25">
      <c r="A8" s="30">
        <v>1</v>
      </c>
      <c r="B8" s="544" t="s">
        <v>16</v>
      </c>
      <c r="C8" s="545" t="s">
        <v>17</v>
      </c>
      <c r="D8" s="546">
        <f>SUM(E8:G8)</f>
        <v>2</v>
      </c>
      <c r="E8" s="546">
        <v>0</v>
      </c>
      <c r="F8" s="546">
        <v>0</v>
      </c>
      <c r="G8" s="546">
        <v>2</v>
      </c>
      <c r="J8" s="547"/>
      <c r="K8" s="547"/>
    </row>
    <row r="9" spans="1:11" x14ac:dyDescent="0.25">
      <c r="A9" s="30">
        <v>2</v>
      </c>
      <c r="B9" s="548" t="s">
        <v>18</v>
      </c>
      <c r="C9" s="545" t="s">
        <v>19</v>
      </c>
      <c r="D9" s="546">
        <f t="shared" ref="D9:D72" si="1">SUM(E9:G9)</f>
        <v>442</v>
      </c>
      <c r="E9" s="546">
        <v>60</v>
      </c>
      <c r="F9" s="546">
        <v>381</v>
      </c>
      <c r="G9" s="546">
        <v>1</v>
      </c>
      <c r="J9" s="547"/>
      <c r="K9" s="547"/>
    </row>
    <row r="10" spans="1:11" x14ac:dyDescent="0.25">
      <c r="A10" s="30">
        <v>3</v>
      </c>
      <c r="B10" s="33" t="s">
        <v>20</v>
      </c>
      <c r="C10" s="549" t="s">
        <v>21</v>
      </c>
      <c r="D10" s="546">
        <f t="shared" si="1"/>
        <v>851</v>
      </c>
      <c r="E10" s="546">
        <v>120</v>
      </c>
      <c r="F10" s="546">
        <v>722</v>
      </c>
      <c r="G10" s="546">
        <v>9</v>
      </c>
      <c r="J10" s="547"/>
      <c r="K10" s="547"/>
    </row>
    <row r="11" spans="1:11" x14ac:dyDescent="0.25">
      <c r="A11" s="30">
        <v>4</v>
      </c>
      <c r="B11" s="544" t="s">
        <v>22</v>
      </c>
      <c r="C11" s="545" t="s">
        <v>23</v>
      </c>
      <c r="D11" s="546">
        <f t="shared" si="1"/>
        <v>3</v>
      </c>
      <c r="E11" s="546">
        <v>0</v>
      </c>
      <c r="F11" s="546">
        <v>0</v>
      </c>
      <c r="G11" s="546">
        <v>3</v>
      </c>
      <c r="J11" s="547"/>
      <c r="K11" s="547"/>
    </row>
    <row r="12" spans="1:11" x14ac:dyDescent="0.25">
      <c r="A12" s="30">
        <v>5</v>
      </c>
      <c r="B12" s="544" t="s">
        <v>24</v>
      </c>
      <c r="C12" s="545" t="s">
        <v>25</v>
      </c>
      <c r="D12" s="546">
        <f t="shared" si="1"/>
        <v>1</v>
      </c>
      <c r="E12" s="546">
        <v>0</v>
      </c>
      <c r="F12" s="546">
        <v>0</v>
      </c>
      <c r="G12" s="546">
        <v>1</v>
      </c>
      <c r="J12" s="547"/>
      <c r="K12" s="547"/>
    </row>
    <row r="13" spans="1:11" x14ac:dyDescent="0.25">
      <c r="A13" s="30">
        <v>6</v>
      </c>
      <c r="B13" s="33" t="s">
        <v>26</v>
      </c>
      <c r="C13" s="549" t="s">
        <v>27</v>
      </c>
      <c r="D13" s="546">
        <f t="shared" si="1"/>
        <v>2555</v>
      </c>
      <c r="E13" s="546">
        <v>240</v>
      </c>
      <c r="F13" s="546">
        <v>2289</v>
      </c>
      <c r="G13" s="546">
        <v>26</v>
      </c>
      <c r="J13" s="547"/>
      <c r="K13" s="547"/>
    </row>
    <row r="14" spans="1:11" x14ac:dyDescent="0.25">
      <c r="A14" s="30">
        <v>7</v>
      </c>
      <c r="B14" s="550" t="s">
        <v>28</v>
      </c>
      <c r="C14" s="34" t="s">
        <v>29</v>
      </c>
      <c r="D14" s="546">
        <f t="shared" si="1"/>
        <v>1110</v>
      </c>
      <c r="E14" s="546">
        <v>100</v>
      </c>
      <c r="F14" s="546">
        <v>1004</v>
      </c>
      <c r="G14" s="546">
        <v>6</v>
      </c>
      <c r="J14" s="547"/>
      <c r="K14" s="547"/>
    </row>
    <row r="15" spans="1:11" x14ac:dyDescent="0.25">
      <c r="A15" s="30">
        <v>8</v>
      </c>
      <c r="B15" s="33" t="s">
        <v>30</v>
      </c>
      <c r="C15" s="549" t="s">
        <v>31</v>
      </c>
      <c r="D15" s="546">
        <f t="shared" si="1"/>
        <v>1</v>
      </c>
      <c r="E15" s="546">
        <v>0</v>
      </c>
      <c r="F15" s="546">
        <v>0</v>
      </c>
      <c r="G15" s="546">
        <v>1</v>
      </c>
      <c r="J15" s="547"/>
      <c r="K15" s="547"/>
    </row>
    <row r="16" spans="1:11" x14ac:dyDescent="0.25">
      <c r="A16" s="30">
        <v>9</v>
      </c>
      <c r="B16" s="33" t="s">
        <v>32</v>
      </c>
      <c r="C16" s="549" t="s">
        <v>33</v>
      </c>
      <c r="D16" s="546">
        <f t="shared" si="1"/>
        <v>3</v>
      </c>
      <c r="E16" s="546">
        <v>0</v>
      </c>
      <c r="F16" s="546">
        <v>0</v>
      </c>
      <c r="G16" s="546">
        <v>3</v>
      </c>
      <c r="J16" s="547"/>
      <c r="K16" s="547"/>
    </row>
    <row r="17" spans="1:11" x14ac:dyDescent="0.25">
      <c r="A17" s="30">
        <v>10</v>
      </c>
      <c r="B17" s="33" t="s">
        <v>34</v>
      </c>
      <c r="C17" s="549" t="s">
        <v>35</v>
      </c>
      <c r="D17" s="546">
        <f t="shared" si="1"/>
        <v>3</v>
      </c>
      <c r="E17" s="546">
        <v>0</v>
      </c>
      <c r="F17" s="546">
        <v>0</v>
      </c>
      <c r="G17" s="546">
        <v>3</v>
      </c>
      <c r="J17" s="547"/>
      <c r="K17" s="547"/>
    </row>
    <row r="18" spans="1:11" x14ac:dyDescent="0.25">
      <c r="A18" s="30">
        <v>11</v>
      </c>
      <c r="B18" s="33" t="s">
        <v>36</v>
      </c>
      <c r="C18" s="549" t="s">
        <v>37</v>
      </c>
      <c r="D18" s="546">
        <f t="shared" si="1"/>
        <v>2</v>
      </c>
      <c r="E18" s="546">
        <v>0</v>
      </c>
      <c r="F18" s="546">
        <v>0</v>
      </c>
      <c r="G18" s="546">
        <v>2</v>
      </c>
      <c r="J18" s="547"/>
      <c r="K18" s="547"/>
    </row>
    <row r="19" spans="1:11" x14ac:dyDescent="0.25">
      <c r="A19" s="30">
        <v>12</v>
      </c>
      <c r="B19" s="33" t="s">
        <v>38</v>
      </c>
      <c r="C19" s="549" t="s">
        <v>39</v>
      </c>
      <c r="D19" s="546">
        <f t="shared" si="1"/>
        <v>766</v>
      </c>
      <c r="E19" s="546">
        <v>130</v>
      </c>
      <c r="F19" s="546">
        <v>633</v>
      </c>
      <c r="G19" s="546">
        <v>3</v>
      </c>
      <c r="J19" s="547"/>
      <c r="K19" s="547"/>
    </row>
    <row r="20" spans="1:11" x14ac:dyDescent="0.25">
      <c r="A20" s="30">
        <v>13</v>
      </c>
      <c r="B20" s="33" t="s">
        <v>40</v>
      </c>
      <c r="C20" s="545" t="s">
        <v>41</v>
      </c>
      <c r="D20" s="546">
        <f t="shared" si="1"/>
        <v>0</v>
      </c>
      <c r="E20" s="546">
        <v>0</v>
      </c>
      <c r="F20" s="546">
        <v>0</v>
      </c>
      <c r="G20" s="546">
        <v>0</v>
      </c>
      <c r="J20" s="547"/>
      <c r="K20" s="547"/>
    </row>
    <row r="21" spans="1:11" x14ac:dyDescent="0.25">
      <c r="A21" s="30">
        <v>14</v>
      </c>
      <c r="B21" s="544" t="s">
        <v>42</v>
      </c>
      <c r="C21" s="549" t="s">
        <v>43</v>
      </c>
      <c r="D21" s="546">
        <f t="shared" si="1"/>
        <v>0</v>
      </c>
      <c r="E21" s="546">
        <v>0</v>
      </c>
      <c r="F21" s="546">
        <v>0</v>
      </c>
      <c r="G21" s="546">
        <v>0</v>
      </c>
      <c r="J21" s="547"/>
      <c r="K21" s="547"/>
    </row>
    <row r="22" spans="1:11" x14ac:dyDescent="0.25">
      <c r="A22" s="30">
        <v>15</v>
      </c>
      <c r="B22" s="33" t="s">
        <v>44</v>
      </c>
      <c r="C22" s="549" t="s">
        <v>45</v>
      </c>
      <c r="D22" s="546">
        <f t="shared" si="1"/>
        <v>203</v>
      </c>
      <c r="E22" s="546">
        <v>70</v>
      </c>
      <c r="F22" s="546">
        <v>130</v>
      </c>
      <c r="G22" s="546">
        <v>3</v>
      </c>
      <c r="J22" s="547"/>
      <c r="K22" s="547"/>
    </row>
    <row r="23" spans="1:11" x14ac:dyDescent="0.25">
      <c r="A23" s="30">
        <v>16</v>
      </c>
      <c r="B23" s="33" t="s">
        <v>46</v>
      </c>
      <c r="C23" s="549" t="s">
        <v>47</v>
      </c>
      <c r="D23" s="546">
        <f t="shared" si="1"/>
        <v>7</v>
      </c>
      <c r="E23" s="546">
        <v>0</v>
      </c>
      <c r="F23" s="546">
        <v>0</v>
      </c>
      <c r="G23" s="546">
        <v>7</v>
      </c>
      <c r="J23" s="547"/>
      <c r="K23" s="547"/>
    </row>
    <row r="24" spans="1:11" x14ac:dyDescent="0.25">
      <c r="A24" s="30">
        <v>17</v>
      </c>
      <c r="B24" s="33" t="s">
        <v>48</v>
      </c>
      <c r="C24" s="549" t="s">
        <v>49</v>
      </c>
      <c r="D24" s="546">
        <f t="shared" si="1"/>
        <v>8</v>
      </c>
      <c r="E24" s="546">
        <v>0</v>
      </c>
      <c r="F24" s="546">
        <v>0</v>
      </c>
      <c r="G24" s="546">
        <v>8</v>
      </c>
      <c r="J24" s="547"/>
      <c r="K24" s="547"/>
    </row>
    <row r="25" spans="1:11" x14ac:dyDescent="0.25">
      <c r="A25" s="30">
        <v>18</v>
      </c>
      <c r="B25" s="33" t="s">
        <v>50</v>
      </c>
      <c r="C25" s="549" t="s">
        <v>51</v>
      </c>
      <c r="D25" s="546">
        <f t="shared" si="1"/>
        <v>997</v>
      </c>
      <c r="E25" s="546">
        <v>190</v>
      </c>
      <c r="F25" s="546">
        <v>793</v>
      </c>
      <c r="G25" s="546">
        <v>14</v>
      </c>
      <c r="J25" s="547"/>
      <c r="K25" s="547"/>
    </row>
    <row r="26" spans="1:11" x14ac:dyDescent="0.25">
      <c r="A26" s="30">
        <v>19</v>
      </c>
      <c r="B26" s="544" t="s">
        <v>52</v>
      </c>
      <c r="C26" s="545" t="s">
        <v>53</v>
      </c>
      <c r="D26" s="546">
        <f t="shared" si="1"/>
        <v>1</v>
      </c>
      <c r="E26" s="546">
        <v>0</v>
      </c>
      <c r="F26" s="546">
        <v>0</v>
      </c>
      <c r="G26" s="546">
        <v>1</v>
      </c>
      <c r="J26" s="547"/>
      <c r="K26" s="547"/>
    </row>
    <row r="27" spans="1:11" x14ac:dyDescent="0.25">
      <c r="A27" s="30">
        <v>20</v>
      </c>
      <c r="B27" s="544" t="s">
        <v>54</v>
      </c>
      <c r="C27" s="545" t="s">
        <v>55</v>
      </c>
      <c r="D27" s="546">
        <f t="shared" si="1"/>
        <v>1</v>
      </c>
      <c r="E27" s="546">
        <v>0</v>
      </c>
      <c r="F27" s="546">
        <v>0</v>
      </c>
      <c r="G27" s="546">
        <v>1</v>
      </c>
      <c r="J27" s="547"/>
      <c r="K27" s="547"/>
    </row>
    <row r="28" spans="1:11" x14ac:dyDescent="0.25">
      <c r="A28" s="30">
        <v>21</v>
      </c>
      <c r="B28" s="544" t="s">
        <v>56</v>
      </c>
      <c r="C28" s="545" t="s">
        <v>57</v>
      </c>
      <c r="D28" s="546">
        <f t="shared" si="1"/>
        <v>1255</v>
      </c>
      <c r="E28" s="546">
        <v>90</v>
      </c>
      <c r="F28" s="546">
        <v>1155</v>
      </c>
      <c r="G28" s="546">
        <v>10</v>
      </c>
      <c r="J28" s="547"/>
      <c r="K28" s="547"/>
    </row>
    <row r="29" spans="1:11" x14ac:dyDescent="0.25">
      <c r="A29" s="30">
        <v>22</v>
      </c>
      <c r="B29" s="544" t="s">
        <v>58</v>
      </c>
      <c r="C29" s="545" t="s">
        <v>59</v>
      </c>
      <c r="D29" s="546">
        <f t="shared" si="1"/>
        <v>915</v>
      </c>
      <c r="E29" s="546">
        <v>140</v>
      </c>
      <c r="F29" s="546">
        <v>763</v>
      </c>
      <c r="G29" s="546">
        <v>12</v>
      </c>
      <c r="J29" s="547"/>
      <c r="K29" s="547"/>
    </row>
    <row r="30" spans="1:11" x14ac:dyDescent="0.25">
      <c r="A30" s="30">
        <v>23</v>
      </c>
      <c r="B30" s="33" t="s">
        <v>60</v>
      </c>
      <c r="C30" s="549" t="s">
        <v>61</v>
      </c>
      <c r="D30" s="546">
        <f t="shared" si="1"/>
        <v>3</v>
      </c>
      <c r="E30" s="546">
        <v>0</v>
      </c>
      <c r="F30" s="546">
        <v>0</v>
      </c>
      <c r="G30" s="546">
        <v>3</v>
      </c>
      <c r="J30" s="547"/>
      <c r="K30" s="547"/>
    </row>
    <row r="31" spans="1:11" x14ac:dyDescent="0.25">
      <c r="A31" s="30">
        <v>24</v>
      </c>
      <c r="B31" s="33" t="s">
        <v>62</v>
      </c>
      <c r="C31" s="549" t="s">
        <v>63</v>
      </c>
      <c r="D31" s="546">
        <f t="shared" si="1"/>
        <v>0</v>
      </c>
      <c r="E31" s="546">
        <v>0</v>
      </c>
      <c r="F31" s="546">
        <v>0</v>
      </c>
      <c r="G31" s="546">
        <v>0</v>
      </c>
      <c r="J31" s="547"/>
      <c r="K31" s="547"/>
    </row>
    <row r="32" spans="1:11" ht="30" x14ac:dyDescent="0.25">
      <c r="A32" s="30">
        <v>25</v>
      </c>
      <c r="B32" s="33" t="s">
        <v>64</v>
      </c>
      <c r="C32" s="549" t="s">
        <v>65</v>
      </c>
      <c r="D32" s="546">
        <f t="shared" si="1"/>
        <v>0</v>
      </c>
      <c r="E32" s="546">
        <v>0</v>
      </c>
      <c r="F32" s="546">
        <v>0</v>
      </c>
      <c r="G32" s="546">
        <v>0</v>
      </c>
      <c r="J32" s="547"/>
      <c r="K32" s="547"/>
    </row>
    <row r="33" spans="1:11" x14ac:dyDescent="0.25">
      <c r="A33" s="30">
        <v>26</v>
      </c>
      <c r="B33" s="544" t="s">
        <v>66</v>
      </c>
      <c r="C33" s="34" t="s">
        <v>67</v>
      </c>
      <c r="D33" s="546">
        <f t="shared" si="1"/>
        <v>3153</v>
      </c>
      <c r="E33" s="546">
        <v>360</v>
      </c>
      <c r="F33" s="546">
        <v>2783</v>
      </c>
      <c r="G33" s="546">
        <v>10</v>
      </c>
      <c r="J33" s="547"/>
      <c r="K33" s="547"/>
    </row>
    <row r="34" spans="1:11" x14ac:dyDescent="0.25">
      <c r="A34" s="30">
        <v>27</v>
      </c>
      <c r="B34" s="33" t="s">
        <v>68</v>
      </c>
      <c r="C34" s="549" t="s">
        <v>69</v>
      </c>
      <c r="D34" s="546">
        <f t="shared" si="1"/>
        <v>819</v>
      </c>
      <c r="E34" s="546">
        <v>100</v>
      </c>
      <c r="F34" s="546">
        <v>712</v>
      </c>
      <c r="G34" s="546">
        <v>7</v>
      </c>
      <c r="J34" s="547"/>
      <c r="K34" s="547"/>
    </row>
    <row r="35" spans="1:11" x14ac:dyDescent="0.25">
      <c r="A35" s="30">
        <v>28</v>
      </c>
      <c r="B35" s="33" t="s">
        <v>70</v>
      </c>
      <c r="C35" s="549" t="s">
        <v>71</v>
      </c>
      <c r="D35" s="546">
        <f t="shared" si="1"/>
        <v>33</v>
      </c>
      <c r="E35" s="546">
        <v>0</v>
      </c>
      <c r="F35" s="546">
        <v>0</v>
      </c>
      <c r="G35" s="546">
        <v>33</v>
      </c>
      <c r="J35" s="547"/>
      <c r="K35" s="547"/>
    </row>
    <row r="36" spans="1:11" x14ac:dyDescent="0.25">
      <c r="A36" s="30">
        <v>29</v>
      </c>
      <c r="B36" s="548" t="s">
        <v>72</v>
      </c>
      <c r="C36" s="34" t="s">
        <v>73</v>
      </c>
      <c r="D36" s="546">
        <f t="shared" si="1"/>
        <v>0</v>
      </c>
      <c r="E36" s="546">
        <v>0</v>
      </c>
      <c r="F36" s="546">
        <v>0</v>
      </c>
      <c r="G36" s="546">
        <v>0</v>
      </c>
      <c r="J36" s="547"/>
      <c r="K36" s="547"/>
    </row>
    <row r="37" spans="1:11" x14ac:dyDescent="0.25">
      <c r="A37" s="30">
        <v>30</v>
      </c>
      <c r="B37" s="544" t="s">
        <v>74</v>
      </c>
      <c r="C37" s="545" t="s">
        <v>357</v>
      </c>
      <c r="D37" s="546">
        <f t="shared" si="1"/>
        <v>0</v>
      </c>
      <c r="E37" s="546">
        <v>0</v>
      </c>
      <c r="F37" s="546">
        <v>0</v>
      </c>
      <c r="G37" s="546">
        <v>0</v>
      </c>
      <c r="J37" s="547"/>
      <c r="K37" s="547"/>
    </row>
    <row r="38" spans="1:11" x14ac:dyDescent="0.25">
      <c r="A38" s="30">
        <v>31</v>
      </c>
      <c r="B38" s="33" t="s">
        <v>75</v>
      </c>
      <c r="C38" s="549" t="s">
        <v>76</v>
      </c>
      <c r="D38" s="546">
        <f t="shared" si="1"/>
        <v>0</v>
      </c>
      <c r="E38" s="546">
        <v>0</v>
      </c>
      <c r="F38" s="546">
        <v>0</v>
      </c>
      <c r="G38" s="546">
        <v>0</v>
      </c>
      <c r="J38" s="547"/>
      <c r="K38" s="547"/>
    </row>
    <row r="39" spans="1:11" x14ac:dyDescent="0.25">
      <c r="A39" s="30">
        <v>32</v>
      </c>
      <c r="B39" s="548" t="s">
        <v>77</v>
      </c>
      <c r="C39" s="545" t="s">
        <v>78</v>
      </c>
      <c r="D39" s="546">
        <f t="shared" si="1"/>
        <v>851</v>
      </c>
      <c r="E39" s="546">
        <v>100</v>
      </c>
      <c r="F39" s="546">
        <v>743</v>
      </c>
      <c r="G39" s="546">
        <v>8</v>
      </c>
      <c r="J39" s="547"/>
      <c r="K39" s="547"/>
    </row>
    <row r="40" spans="1:11" x14ac:dyDescent="0.25">
      <c r="A40" s="30">
        <v>33</v>
      </c>
      <c r="B40" s="550" t="s">
        <v>79</v>
      </c>
      <c r="C40" s="34" t="s">
        <v>80</v>
      </c>
      <c r="D40" s="546">
        <f t="shared" si="1"/>
        <v>1725</v>
      </c>
      <c r="E40" s="546">
        <v>160</v>
      </c>
      <c r="F40" s="546">
        <v>1547</v>
      </c>
      <c r="G40" s="546">
        <v>18</v>
      </c>
      <c r="J40" s="547"/>
      <c r="K40" s="547"/>
    </row>
    <row r="41" spans="1:11" x14ac:dyDescent="0.25">
      <c r="A41" s="30">
        <v>34</v>
      </c>
      <c r="B41" s="548" t="s">
        <v>81</v>
      </c>
      <c r="C41" s="545" t="s">
        <v>82</v>
      </c>
      <c r="D41" s="546">
        <f t="shared" si="1"/>
        <v>2</v>
      </c>
      <c r="E41" s="546">
        <v>0</v>
      </c>
      <c r="F41" s="546">
        <v>0</v>
      </c>
      <c r="G41" s="546">
        <v>2</v>
      </c>
      <c r="J41" s="547"/>
      <c r="K41" s="547"/>
    </row>
    <row r="42" spans="1:11" x14ac:dyDescent="0.25">
      <c r="A42" s="30">
        <v>35</v>
      </c>
      <c r="B42" s="33" t="s">
        <v>83</v>
      </c>
      <c r="C42" s="549" t="s">
        <v>84</v>
      </c>
      <c r="D42" s="546">
        <f t="shared" si="1"/>
        <v>1056</v>
      </c>
      <c r="E42" s="546">
        <v>100</v>
      </c>
      <c r="F42" s="546">
        <v>944</v>
      </c>
      <c r="G42" s="546">
        <v>12</v>
      </c>
      <c r="J42" s="547"/>
      <c r="K42" s="547"/>
    </row>
    <row r="43" spans="1:11" x14ac:dyDescent="0.25">
      <c r="A43" s="30">
        <v>36</v>
      </c>
      <c r="B43" s="548" t="s">
        <v>85</v>
      </c>
      <c r="C43" s="545" t="s">
        <v>86</v>
      </c>
      <c r="D43" s="546">
        <f t="shared" si="1"/>
        <v>1010</v>
      </c>
      <c r="E43" s="546">
        <v>320</v>
      </c>
      <c r="F43" s="546">
        <v>684</v>
      </c>
      <c r="G43" s="546">
        <v>6</v>
      </c>
      <c r="J43" s="547"/>
      <c r="K43" s="547"/>
    </row>
    <row r="44" spans="1:11" x14ac:dyDescent="0.25">
      <c r="A44" s="30">
        <v>37</v>
      </c>
      <c r="B44" s="544" t="s">
        <v>87</v>
      </c>
      <c r="C44" s="545" t="s">
        <v>88</v>
      </c>
      <c r="D44" s="546">
        <f t="shared" si="1"/>
        <v>1215</v>
      </c>
      <c r="E44" s="546">
        <v>87</v>
      </c>
      <c r="F44" s="546">
        <v>1114</v>
      </c>
      <c r="G44" s="546">
        <v>14</v>
      </c>
      <c r="J44" s="547"/>
      <c r="K44" s="547"/>
    </row>
    <row r="45" spans="1:11" x14ac:dyDescent="0.25">
      <c r="A45" s="30">
        <v>38</v>
      </c>
      <c r="B45" s="551" t="s">
        <v>89</v>
      </c>
      <c r="C45" s="552" t="s">
        <v>90</v>
      </c>
      <c r="D45" s="546">
        <f t="shared" si="1"/>
        <v>446</v>
      </c>
      <c r="E45" s="546">
        <v>80</v>
      </c>
      <c r="F45" s="546">
        <v>362</v>
      </c>
      <c r="G45" s="546">
        <v>4</v>
      </c>
      <c r="J45" s="547"/>
      <c r="K45" s="547"/>
    </row>
    <row r="46" spans="1:11" x14ac:dyDescent="0.25">
      <c r="A46" s="30">
        <v>39</v>
      </c>
      <c r="B46" s="544" t="s">
        <v>91</v>
      </c>
      <c r="C46" s="545" t="s">
        <v>92</v>
      </c>
      <c r="D46" s="546">
        <f t="shared" si="1"/>
        <v>1</v>
      </c>
      <c r="E46" s="546">
        <v>0</v>
      </c>
      <c r="F46" s="546">
        <v>0</v>
      </c>
      <c r="G46" s="546">
        <v>1</v>
      </c>
      <c r="J46" s="547"/>
      <c r="K46" s="547"/>
    </row>
    <row r="47" spans="1:11" x14ac:dyDescent="0.25">
      <c r="A47" s="30">
        <v>40</v>
      </c>
      <c r="B47" s="550" t="s">
        <v>93</v>
      </c>
      <c r="C47" s="34" t="s">
        <v>94</v>
      </c>
      <c r="D47" s="546">
        <f t="shared" si="1"/>
        <v>2</v>
      </c>
      <c r="E47" s="546">
        <v>0</v>
      </c>
      <c r="F47" s="546">
        <v>0</v>
      </c>
      <c r="G47" s="546">
        <v>2</v>
      </c>
      <c r="J47" s="547"/>
      <c r="K47" s="547"/>
    </row>
    <row r="48" spans="1:11" x14ac:dyDescent="0.25">
      <c r="A48" s="30">
        <v>41</v>
      </c>
      <c r="B48" s="33" t="s">
        <v>95</v>
      </c>
      <c r="C48" s="549" t="s">
        <v>96</v>
      </c>
      <c r="D48" s="546">
        <f t="shared" si="1"/>
        <v>1</v>
      </c>
      <c r="E48" s="546">
        <v>0</v>
      </c>
      <c r="F48" s="546">
        <v>0</v>
      </c>
      <c r="G48" s="546">
        <v>1</v>
      </c>
      <c r="J48" s="547"/>
      <c r="K48" s="547"/>
    </row>
    <row r="49" spans="1:11" x14ac:dyDescent="0.25">
      <c r="A49" s="30">
        <v>42</v>
      </c>
      <c r="B49" s="548" t="s">
        <v>97</v>
      </c>
      <c r="C49" s="545" t="s">
        <v>98</v>
      </c>
      <c r="D49" s="546">
        <f t="shared" si="1"/>
        <v>0</v>
      </c>
      <c r="E49" s="546">
        <v>0</v>
      </c>
      <c r="F49" s="546">
        <v>0</v>
      </c>
      <c r="G49" s="546">
        <v>0</v>
      </c>
      <c r="J49" s="547"/>
      <c r="K49" s="547"/>
    </row>
    <row r="50" spans="1:11" x14ac:dyDescent="0.25">
      <c r="A50" s="30">
        <v>43</v>
      </c>
      <c r="B50" s="33" t="s">
        <v>99</v>
      </c>
      <c r="C50" s="549" t="s">
        <v>100</v>
      </c>
      <c r="D50" s="546">
        <f t="shared" si="1"/>
        <v>357</v>
      </c>
      <c r="E50" s="546">
        <v>140</v>
      </c>
      <c r="F50" s="546">
        <v>201</v>
      </c>
      <c r="G50" s="546">
        <v>16</v>
      </c>
      <c r="J50" s="547"/>
      <c r="K50" s="547"/>
    </row>
    <row r="51" spans="1:11" x14ac:dyDescent="0.25">
      <c r="A51" s="30">
        <v>44</v>
      </c>
      <c r="B51" s="544" t="s">
        <v>101</v>
      </c>
      <c r="C51" s="545" t="s">
        <v>102</v>
      </c>
      <c r="D51" s="546">
        <f t="shared" si="1"/>
        <v>4</v>
      </c>
      <c r="E51" s="546">
        <v>0</v>
      </c>
      <c r="F51" s="546">
        <v>0</v>
      </c>
      <c r="G51" s="546">
        <v>4</v>
      </c>
      <c r="J51" s="547"/>
      <c r="K51" s="547"/>
    </row>
    <row r="52" spans="1:11" x14ac:dyDescent="0.25">
      <c r="A52" s="30">
        <v>45</v>
      </c>
      <c r="B52" s="544" t="s">
        <v>103</v>
      </c>
      <c r="C52" s="545" t="s">
        <v>104</v>
      </c>
      <c r="D52" s="546">
        <f t="shared" si="1"/>
        <v>1699</v>
      </c>
      <c r="E52" s="546">
        <v>820</v>
      </c>
      <c r="F52" s="546">
        <v>866</v>
      </c>
      <c r="G52" s="546">
        <v>13</v>
      </c>
      <c r="J52" s="547"/>
      <c r="K52" s="547"/>
    </row>
    <row r="53" spans="1:11" x14ac:dyDescent="0.25">
      <c r="A53" s="30">
        <v>46</v>
      </c>
      <c r="B53" s="33" t="s">
        <v>105</v>
      </c>
      <c r="C53" s="549" t="s">
        <v>106</v>
      </c>
      <c r="D53" s="546">
        <f t="shared" si="1"/>
        <v>1</v>
      </c>
      <c r="E53" s="546">
        <v>0</v>
      </c>
      <c r="F53" s="546">
        <v>0</v>
      </c>
      <c r="G53" s="546">
        <v>1</v>
      </c>
      <c r="J53" s="547"/>
      <c r="K53" s="547"/>
    </row>
    <row r="54" spans="1:11" x14ac:dyDescent="0.25">
      <c r="A54" s="30">
        <v>47</v>
      </c>
      <c r="B54" s="33" t="s">
        <v>107</v>
      </c>
      <c r="C54" s="549" t="s">
        <v>108</v>
      </c>
      <c r="D54" s="546">
        <f t="shared" si="1"/>
        <v>3</v>
      </c>
      <c r="E54" s="546">
        <v>0</v>
      </c>
      <c r="F54" s="546">
        <v>0</v>
      </c>
      <c r="G54" s="546">
        <v>3</v>
      </c>
      <c r="J54" s="547"/>
      <c r="K54" s="547"/>
    </row>
    <row r="55" spans="1:11" x14ac:dyDescent="0.25">
      <c r="A55" s="30">
        <v>48</v>
      </c>
      <c r="B55" s="548" t="s">
        <v>109</v>
      </c>
      <c r="C55" s="545" t="s">
        <v>110</v>
      </c>
      <c r="D55" s="546">
        <f t="shared" si="1"/>
        <v>6</v>
      </c>
      <c r="E55" s="546">
        <v>0</v>
      </c>
      <c r="F55" s="546">
        <v>0</v>
      </c>
      <c r="G55" s="546">
        <v>6</v>
      </c>
      <c r="J55" s="547"/>
      <c r="K55" s="547"/>
    </row>
    <row r="56" spans="1:11" x14ac:dyDescent="0.25">
      <c r="A56" s="30">
        <v>49</v>
      </c>
      <c r="B56" s="33" t="s">
        <v>111</v>
      </c>
      <c r="C56" s="549" t="s">
        <v>112</v>
      </c>
      <c r="D56" s="546">
        <f t="shared" si="1"/>
        <v>1</v>
      </c>
      <c r="E56" s="546">
        <v>0</v>
      </c>
      <c r="F56" s="546">
        <v>0</v>
      </c>
      <c r="G56" s="546">
        <v>1</v>
      </c>
      <c r="J56" s="547"/>
      <c r="K56" s="547"/>
    </row>
    <row r="57" spans="1:11" x14ac:dyDescent="0.25">
      <c r="A57" s="30">
        <v>50</v>
      </c>
      <c r="B57" s="548" t="s">
        <v>113</v>
      </c>
      <c r="C57" s="545" t="s">
        <v>114</v>
      </c>
      <c r="D57" s="546">
        <f t="shared" si="1"/>
        <v>707</v>
      </c>
      <c r="E57" s="546">
        <v>130</v>
      </c>
      <c r="F57" s="546">
        <v>572</v>
      </c>
      <c r="G57" s="546">
        <v>5</v>
      </c>
      <c r="J57" s="547"/>
      <c r="K57" s="547"/>
    </row>
    <row r="58" spans="1:11" x14ac:dyDescent="0.25">
      <c r="A58" s="30">
        <v>51</v>
      </c>
      <c r="B58" s="33" t="s">
        <v>115</v>
      </c>
      <c r="C58" s="549" t="s">
        <v>116</v>
      </c>
      <c r="D58" s="546">
        <f t="shared" si="1"/>
        <v>3</v>
      </c>
      <c r="E58" s="546">
        <v>0</v>
      </c>
      <c r="F58" s="546">
        <v>0</v>
      </c>
      <c r="G58" s="546">
        <v>3</v>
      </c>
      <c r="J58" s="547"/>
      <c r="K58" s="547"/>
    </row>
    <row r="59" spans="1:11" x14ac:dyDescent="0.25">
      <c r="A59" s="30">
        <v>52</v>
      </c>
      <c r="B59" s="33" t="s">
        <v>117</v>
      </c>
      <c r="C59" s="549" t="s">
        <v>118</v>
      </c>
      <c r="D59" s="546">
        <f t="shared" si="1"/>
        <v>1849</v>
      </c>
      <c r="E59" s="546">
        <v>430</v>
      </c>
      <c r="F59" s="546">
        <v>1397</v>
      </c>
      <c r="G59" s="546">
        <v>22</v>
      </c>
      <c r="J59" s="547"/>
      <c r="K59" s="547"/>
    </row>
    <row r="60" spans="1:11" x14ac:dyDescent="0.25">
      <c r="A60" s="30">
        <v>53</v>
      </c>
      <c r="B60" s="33" t="s">
        <v>119</v>
      </c>
      <c r="C60" s="549" t="s">
        <v>120</v>
      </c>
      <c r="D60" s="546">
        <f t="shared" si="1"/>
        <v>2</v>
      </c>
      <c r="E60" s="546">
        <v>0</v>
      </c>
      <c r="F60" s="546">
        <v>0</v>
      </c>
      <c r="G60" s="546">
        <v>2</v>
      </c>
      <c r="J60" s="547"/>
      <c r="K60" s="547"/>
    </row>
    <row r="61" spans="1:11" x14ac:dyDescent="0.25">
      <c r="A61" s="30">
        <v>54</v>
      </c>
      <c r="B61" s="33" t="s">
        <v>121</v>
      </c>
      <c r="C61" s="549" t="s">
        <v>122</v>
      </c>
      <c r="D61" s="546">
        <f t="shared" si="1"/>
        <v>0</v>
      </c>
      <c r="E61" s="546">
        <v>0</v>
      </c>
      <c r="F61" s="546">
        <v>0</v>
      </c>
      <c r="G61" s="546">
        <v>0</v>
      </c>
      <c r="J61" s="547"/>
      <c r="K61" s="547"/>
    </row>
    <row r="62" spans="1:11" x14ac:dyDescent="0.25">
      <c r="A62" s="30">
        <v>55</v>
      </c>
      <c r="B62" s="33" t="s">
        <v>123</v>
      </c>
      <c r="C62" s="549" t="s">
        <v>124</v>
      </c>
      <c r="D62" s="546">
        <f t="shared" si="1"/>
        <v>0</v>
      </c>
      <c r="E62" s="546">
        <v>0</v>
      </c>
      <c r="F62" s="546">
        <v>0</v>
      </c>
      <c r="G62" s="546">
        <v>0</v>
      </c>
      <c r="J62" s="547"/>
      <c r="K62" s="547"/>
    </row>
    <row r="63" spans="1:11" x14ac:dyDescent="0.25">
      <c r="A63" s="30">
        <v>56</v>
      </c>
      <c r="B63" s="553" t="s">
        <v>125</v>
      </c>
      <c r="C63" s="34" t="s">
        <v>126</v>
      </c>
      <c r="D63" s="546">
        <f t="shared" si="1"/>
        <v>0</v>
      </c>
      <c r="E63" s="546">
        <v>0</v>
      </c>
      <c r="F63" s="546">
        <v>0</v>
      </c>
      <c r="G63" s="546">
        <v>0</v>
      </c>
      <c r="J63" s="547"/>
      <c r="K63" s="547"/>
    </row>
    <row r="64" spans="1:11" x14ac:dyDescent="0.25">
      <c r="A64" s="30">
        <v>57</v>
      </c>
      <c r="B64" s="33" t="s">
        <v>127</v>
      </c>
      <c r="C64" s="549" t="s">
        <v>128</v>
      </c>
      <c r="D64" s="546">
        <f t="shared" si="1"/>
        <v>35</v>
      </c>
      <c r="E64" s="546">
        <v>0</v>
      </c>
      <c r="F64" s="546">
        <v>0</v>
      </c>
      <c r="G64" s="546">
        <v>35</v>
      </c>
      <c r="J64" s="547"/>
      <c r="K64" s="547"/>
    </row>
    <row r="65" spans="1:11" x14ac:dyDescent="0.25">
      <c r="A65" s="30">
        <v>58</v>
      </c>
      <c r="B65" s="548" t="s">
        <v>129</v>
      </c>
      <c r="C65" s="549" t="s">
        <v>791</v>
      </c>
      <c r="D65" s="546">
        <f t="shared" si="1"/>
        <v>37</v>
      </c>
      <c r="E65" s="546">
        <v>0</v>
      </c>
      <c r="F65" s="546">
        <v>0</v>
      </c>
      <c r="G65" s="546">
        <v>37</v>
      </c>
      <c r="J65" s="547"/>
      <c r="K65" s="547"/>
    </row>
    <row r="66" spans="1:11" x14ac:dyDescent="0.25">
      <c r="A66" s="30">
        <v>59</v>
      </c>
      <c r="B66" s="550" t="s">
        <v>131</v>
      </c>
      <c r="C66" s="34" t="s">
        <v>132</v>
      </c>
      <c r="D66" s="546">
        <f t="shared" si="1"/>
        <v>36</v>
      </c>
      <c r="E66" s="546">
        <v>0</v>
      </c>
      <c r="F66" s="546">
        <v>0</v>
      </c>
      <c r="G66" s="546">
        <v>36</v>
      </c>
      <c r="J66" s="547"/>
      <c r="K66" s="547"/>
    </row>
    <row r="67" spans="1:11" x14ac:dyDescent="0.25">
      <c r="A67" s="30">
        <v>60</v>
      </c>
      <c r="B67" s="548" t="s">
        <v>133</v>
      </c>
      <c r="C67" s="549" t="s">
        <v>792</v>
      </c>
      <c r="D67" s="546">
        <f t="shared" si="1"/>
        <v>55</v>
      </c>
      <c r="E67" s="546">
        <v>0</v>
      </c>
      <c r="F67" s="546">
        <v>0</v>
      </c>
      <c r="G67" s="546">
        <v>55</v>
      </c>
      <c r="J67" s="547"/>
      <c r="K67" s="547"/>
    </row>
    <row r="68" spans="1:11" ht="30" x14ac:dyDescent="0.25">
      <c r="A68" s="30">
        <v>61</v>
      </c>
      <c r="B68" s="33" t="s">
        <v>135</v>
      </c>
      <c r="C68" s="549" t="s">
        <v>136</v>
      </c>
      <c r="D68" s="546">
        <f t="shared" si="1"/>
        <v>17</v>
      </c>
      <c r="E68" s="546">
        <v>0</v>
      </c>
      <c r="F68" s="546">
        <v>0</v>
      </c>
      <c r="G68" s="546">
        <v>17</v>
      </c>
      <c r="J68" s="547"/>
      <c r="K68" s="547"/>
    </row>
    <row r="69" spans="1:11" ht="30" x14ac:dyDescent="0.25">
      <c r="A69" s="30">
        <v>62</v>
      </c>
      <c r="B69" s="544" t="s">
        <v>137</v>
      </c>
      <c r="C69" s="549" t="s">
        <v>793</v>
      </c>
      <c r="D69" s="546">
        <f t="shared" si="1"/>
        <v>0</v>
      </c>
      <c r="E69" s="546">
        <v>0</v>
      </c>
      <c r="F69" s="546">
        <v>0</v>
      </c>
      <c r="G69" s="546">
        <v>0</v>
      </c>
      <c r="J69" s="547"/>
      <c r="K69" s="547"/>
    </row>
    <row r="70" spans="1:11" ht="30" x14ac:dyDescent="0.25">
      <c r="A70" s="30">
        <v>63</v>
      </c>
      <c r="B70" s="544" t="s">
        <v>139</v>
      </c>
      <c r="C70" s="549" t="s">
        <v>794</v>
      </c>
      <c r="D70" s="546">
        <f t="shared" si="1"/>
        <v>0</v>
      </c>
      <c r="E70" s="546">
        <v>0</v>
      </c>
      <c r="F70" s="546">
        <v>0</v>
      </c>
      <c r="G70" s="546">
        <v>0</v>
      </c>
      <c r="J70" s="547"/>
      <c r="K70" s="547"/>
    </row>
    <row r="71" spans="1:11" x14ac:dyDescent="0.25">
      <c r="A71" s="30">
        <v>64</v>
      </c>
      <c r="B71" s="548" t="s">
        <v>141</v>
      </c>
      <c r="C71" s="549" t="s">
        <v>795</v>
      </c>
      <c r="D71" s="546">
        <f t="shared" si="1"/>
        <v>1988</v>
      </c>
      <c r="E71" s="546">
        <v>180</v>
      </c>
      <c r="F71" s="546">
        <v>1808</v>
      </c>
      <c r="G71" s="546">
        <v>0</v>
      </c>
      <c r="J71" s="547"/>
      <c r="K71" s="547"/>
    </row>
    <row r="72" spans="1:11" x14ac:dyDescent="0.25">
      <c r="A72" s="30">
        <v>65</v>
      </c>
      <c r="B72" s="548" t="s">
        <v>143</v>
      </c>
      <c r="C72" s="545" t="s">
        <v>144</v>
      </c>
      <c r="D72" s="546">
        <f t="shared" si="1"/>
        <v>1105</v>
      </c>
      <c r="E72" s="546">
        <v>100</v>
      </c>
      <c r="F72" s="546">
        <v>1005</v>
      </c>
      <c r="G72" s="546">
        <v>0</v>
      </c>
      <c r="J72" s="547"/>
      <c r="K72" s="547"/>
    </row>
    <row r="73" spans="1:11" x14ac:dyDescent="0.25">
      <c r="A73" s="30">
        <v>66</v>
      </c>
      <c r="B73" s="548" t="s">
        <v>145</v>
      </c>
      <c r="C73" s="549" t="s">
        <v>796</v>
      </c>
      <c r="D73" s="546">
        <f t="shared" ref="D73:D136" si="2">SUM(E73:G73)</f>
        <v>1948</v>
      </c>
      <c r="E73" s="546">
        <v>260</v>
      </c>
      <c r="F73" s="546">
        <v>1688</v>
      </c>
      <c r="G73" s="546">
        <v>0</v>
      </c>
      <c r="J73" s="547"/>
      <c r="K73" s="547"/>
    </row>
    <row r="74" spans="1:11" ht="30" x14ac:dyDescent="0.25">
      <c r="A74" s="30">
        <v>67</v>
      </c>
      <c r="B74" s="548" t="s">
        <v>147</v>
      </c>
      <c r="C74" s="549" t="s">
        <v>797</v>
      </c>
      <c r="D74" s="546">
        <f t="shared" si="2"/>
        <v>0</v>
      </c>
      <c r="E74" s="546">
        <v>0</v>
      </c>
      <c r="F74" s="546">
        <v>0</v>
      </c>
      <c r="G74" s="546">
        <v>0</v>
      </c>
      <c r="J74" s="547"/>
      <c r="K74" s="547"/>
    </row>
    <row r="75" spans="1:11" ht="30" x14ac:dyDescent="0.25">
      <c r="A75" s="30">
        <v>68</v>
      </c>
      <c r="B75" s="544" t="s">
        <v>149</v>
      </c>
      <c r="C75" s="549" t="s">
        <v>798</v>
      </c>
      <c r="D75" s="546">
        <f t="shared" si="2"/>
        <v>0</v>
      </c>
      <c r="E75" s="546">
        <v>0</v>
      </c>
      <c r="F75" s="546">
        <v>0</v>
      </c>
      <c r="G75" s="546">
        <v>0</v>
      </c>
      <c r="J75" s="547"/>
      <c r="K75" s="547"/>
    </row>
    <row r="76" spans="1:11" ht="30" x14ac:dyDescent="0.25">
      <c r="A76" s="30">
        <v>69</v>
      </c>
      <c r="B76" s="548" t="s">
        <v>151</v>
      </c>
      <c r="C76" s="549" t="s">
        <v>799</v>
      </c>
      <c r="D76" s="546">
        <f t="shared" si="2"/>
        <v>0</v>
      </c>
      <c r="E76" s="546">
        <v>0</v>
      </c>
      <c r="F76" s="546">
        <v>0</v>
      </c>
      <c r="G76" s="546">
        <v>0</v>
      </c>
      <c r="J76" s="547"/>
      <c r="K76" s="547"/>
    </row>
    <row r="77" spans="1:11" ht="30" x14ac:dyDescent="0.25">
      <c r="A77" s="30">
        <v>70</v>
      </c>
      <c r="B77" s="548" t="s">
        <v>153</v>
      </c>
      <c r="C77" s="549" t="s">
        <v>800</v>
      </c>
      <c r="D77" s="546">
        <f t="shared" si="2"/>
        <v>0</v>
      </c>
      <c r="E77" s="546">
        <v>0</v>
      </c>
      <c r="F77" s="546">
        <v>0</v>
      </c>
      <c r="G77" s="546">
        <v>0</v>
      </c>
      <c r="J77" s="547"/>
      <c r="K77" s="547"/>
    </row>
    <row r="78" spans="1:11" ht="30" x14ac:dyDescent="0.25">
      <c r="A78" s="30">
        <v>71</v>
      </c>
      <c r="B78" s="544" t="s">
        <v>155</v>
      </c>
      <c r="C78" s="549" t="s">
        <v>801</v>
      </c>
      <c r="D78" s="546">
        <f t="shared" si="2"/>
        <v>0</v>
      </c>
      <c r="E78" s="546">
        <v>0</v>
      </c>
      <c r="F78" s="546">
        <v>0</v>
      </c>
      <c r="G78" s="546">
        <v>0</v>
      </c>
      <c r="J78" s="547"/>
      <c r="K78" s="547"/>
    </row>
    <row r="79" spans="1:11" ht="30" x14ac:dyDescent="0.25">
      <c r="A79" s="30">
        <v>72</v>
      </c>
      <c r="B79" s="544" t="s">
        <v>157</v>
      </c>
      <c r="C79" s="549" t="s">
        <v>802</v>
      </c>
      <c r="D79" s="546">
        <f t="shared" si="2"/>
        <v>0</v>
      </c>
      <c r="E79" s="546">
        <v>0</v>
      </c>
      <c r="F79" s="546">
        <v>0</v>
      </c>
      <c r="G79" s="546">
        <v>0</v>
      </c>
      <c r="J79" s="547"/>
      <c r="K79" s="547"/>
    </row>
    <row r="80" spans="1:11" ht="30" x14ac:dyDescent="0.25">
      <c r="A80" s="30">
        <v>73</v>
      </c>
      <c r="B80" s="544" t="s">
        <v>159</v>
      </c>
      <c r="C80" s="549" t="s">
        <v>803</v>
      </c>
      <c r="D80" s="546">
        <f t="shared" si="2"/>
        <v>0</v>
      </c>
      <c r="E80" s="546">
        <v>0</v>
      </c>
      <c r="F80" s="546">
        <v>0</v>
      </c>
      <c r="G80" s="546">
        <v>0</v>
      </c>
      <c r="J80" s="547"/>
      <c r="K80" s="547"/>
    </row>
    <row r="81" spans="1:11" x14ac:dyDescent="0.25">
      <c r="A81" s="30">
        <v>74</v>
      </c>
      <c r="B81" s="33" t="s">
        <v>161</v>
      </c>
      <c r="C81" s="549" t="s">
        <v>162</v>
      </c>
      <c r="D81" s="546">
        <f t="shared" si="2"/>
        <v>1440</v>
      </c>
      <c r="E81" s="546">
        <v>170</v>
      </c>
      <c r="F81" s="546">
        <v>1255</v>
      </c>
      <c r="G81" s="546">
        <v>15</v>
      </c>
      <c r="J81" s="547"/>
      <c r="K81" s="547"/>
    </row>
    <row r="82" spans="1:11" x14ac:dyDescent="0.25">
      <c r="A82" s="30">
        <v>75</v>
      </c>
      <c r="B82" s="544" t="s">
        <v>163</v>
      </c>
      <c r="C82" s="549" t="s">
        <v>804</v>
      </c>
      <c r="D82" s="546">
        <f t="shared" si="2"/>
        <v>1987</v>
      </c>
      <c r="E82" s="546">
        <v>230</v>
      </c>
      <c r="F82" s="546">
        <v>1757</v>
      </c>
      <c r="G82" s="546">
        <v>0</v>
      </c>
      <c r="J82" s="547"/>
      <c r="K82" s="547"/>
    </row>
    <row r="83" spans="1:11" x14ac:dyDescent="0.25">
      <c r="A83" s="30">
        <v>76</v>
      </c>
      <c r="B83" s="33" t="s">
        <v>165</v>
      </c>
      <c r="C83" s="549" t="s">
        <v>166</v>
      </c>
      <c r="D83" s="546">
        <f t="shared" si="2"/>
        <v>1747</v>
      </c>
      <c r="E83" s="546">
        <v>180</v>
      </c>
      <c r="F83" s="546">
        <v>1567</v>
      </c>
      <c r="G83" s="546">
        <v>0</v>
      </c>
      <c r="J83" s="547"/>
      <c r="K83" s="547"/>
    </row>
    <row r="84" spans="1:11" x14ac:dyDescent="0.25">
      <c r="A84" s="30">
        <v>77</v>
      </c>
      <c r="B84" s="550" t="s">
        <v>167</v>
      </c>
      <c r="C84" s="34" t="s">
        <v>168</v>
      </c>
      <c r="D84" s="546">
        <f t="shared" si="2"/>
        <v>0</v>
      </c>
      <c r="E84" s="546">
        <v>0</v>
      </c>
      <c r="F84" s="546">
        <v>0</v>
      </c>
      <c r="G84" s="546">
        <v>0</v>
      </c>
      <c r="J84" s="547"/>
      <c r="K84" s="547"/>
    </row>
    <row r="85" spans="1:11" x14ac:dyDescent="0.25">
      <c r="A85" s="30">
        <v>78</v>
      </c>
      <c r="B85" s="544" t="s">
        <v>169</v>
      </c>
      <c r="C85" s="549" t="s">
        <v>170</v>
      </c>
      <c r="D85" s="546">
        <f t="shared" si="2"/>
        <v>2430</v>
      </c>
      <c r="E85" s="546">
        <v>380</v>
      </c>
      <c r="F85" s="546">
        <v>2050</v>
      </c>
      <c r="G85" s="546">
        <v>0</v>
      </c>
      <c r="J85" s="547"/>
      <c r="K85" s="547"/>
    </row>
    <row r="86" spans="1:11" x14ac:dyDescent="0.25">
      <c r="A86" s="30">
        <v>79</v>
      </c>
      <c r="B86" s="550" t="s">
        <v>171</v>
      </c>
      <c r="C86" s="34" t="s">
        <v>172</v>
      </c>
      <c r="D86" s="546">
        <f t="shared" si="2"/>
        <v>17</v>
      </c>
      <c r="E86" s="546">
        <v>0</v>
      </c>
      <c r="F86" s="546">
        <v>0</v>
      </c>
      <c r="G86" s="546">
        <v>17</v>
      </c>
      <c r="J86" s="547"/>
      <c r="K86" s="547"/>
    </row>
    <row r="87" spans="1:11" x14ac:dyDescent="0.25">
      <c r="A87" s="30">
        <v>80</v>
      </c>
      <c r="B87" s="544" t="s">
        <v>173</v>
      </c>
      <c r="C87" s="549" t="s">
        <v>805</v>
      </c>
      <c r="D87" s="546">
        <f t="shared" si="2"/>
        <v>1888</v>
      </c>
      <c r="E87" s="546">
        <v>230</v>
      </c>
      <c r="F87" s="546">
        <v>1658</v>
      </c>
      <c r="G87" s="546">
        <v>0</v>
      </c>
      <c r="J87" s="547"/>
      <c r="K87" s="547"/>
    </row>
    <row r="88" spans="1:11" x14ac:dyDescent="0.25">
      <c r="A88" s="30">
        <v>81</v>
      </c>
      <c r="B88" s="550" t="s">
        <v>175</v>
      </c>
      <c r="C88" s="34" t="s">
        <v>754</v>
      </c>
      <c r="D88" s="546">
        <f t="shared" si="2"/>
        <v>0</v>
      </c>
      <c r="E88" s="546">
        <v>0</v>
      </c>
      <c r="F88" s="546">
        <v>0</v>
      </c>
      <c r="G88" s="546">
        <v>0</v>
      </c>
      <c r="J88" s="547"/>
      <c r="K88" s="547"/>
    </row>
    <row r="89" spans="1:11" x14ac:dyDescent="0.25">
      <c r="A89" s="30">
        <v>82</v>
      </c>
      <c r="B89" s="548" t="s">
        <v>177</v>
      </c>
      <c r="C89" s="549" t="s">
        <v>806</v>
      </c>
      <c r="D89" s="546">
        <f t="shared" si="2"/>
        <v>0</v>
      </c>
      <c r="E89" s="546">
        <v>0</v>
      </c>
      <c r="F89" s="546">
        <v>0</v>
      </c>
      <c r="G89" s="546">
        <v>0</v>
      </c>
      <c r="J89" s="547"/>
      <c r="K89" s="547"/>
    </row>
    <row r="90" spans="1:11" ht="48.75" customHeight="1" x14ac:dyDescent="0.25">
      <c r="A90" s="1055">
        <v>83</v>
      </c>
      <c r="B90" s="1058" t="s">
        <v>178</v>
      </c>
      <c r="C90" s="34" t="s">
        <v>752</v>
      </c>
      <c r="D90" s="546">
        <f t="shared" si="2"/>
        <v>0</v>
      </c>
      <c r="E90" s="546">
        <v>0</v>
      </c>
      <c r="F90" s="546">
        <v>0</v>
      </c>
      <c r="G90" s="546">
        <v>0</v>
      </c>
      <c r="J90" s="547"/>
      <c r="K90" s="547"/>
    </row>
    <row r="91" spans="1:11" ht="38.25" customHeight="1" x14ac:dyDescent="0.25">
      <c r="A91" s="1056"/>
      <c r="B91" s="1059"/>
      <c r="C91" s="549" t="s">
        <v>180</v>
      </c>
      <c r="D91" s="546">
        <f t="shared" si="2"/>
        <v>0</v>
      </c>
      <c r="E91" s="546">
        <v>0</v>
      </c>
      <c r="F91" s="546">
        <v>0</v>
      </c>
      <c r="G91" s="546">
        <v>0</v>
      </c>
      <c r="J91" s="547"/>
      <c r="K91" s="547"/>
    </row>
    <row r="92" spans="1:11" ht="45" x14ac:dyDescent="0.25">
      <c r="A92" s="1057"/>
      <c r="B92" s="1060"/>
      <c r="C92" s="554" t="s">
        <v>753</v>
      </c>
      <c r="D92" s="546">
        <f t="shared" si="2"/>
        <v>0</v>
      </c>
      <c r="E92" s="546">
        <v>0</v>
      </c>
      <c r="F92" s="546">
        <v>0</v>
      </c>
      <c r="G92" s="546">
        <v>0</v>
      </c>
      <c r="J92" s="547"/>
      <c r="K92" s="547"/>
    </row>
    <row r="93" spans="1:11" ht="30" x14ac:dyDescent="0.25">
      <c r="A93" s="30">
        <v>84</v>
      </c>
      <c r="B93" s="548" t="s">
        <v>181</v>
      </c>
      <c r="C93" s="545" t="s">
        <v>182</v>
      </c>
      <c r="D93" s="546">
        <f t="shared" si="2"/>
        <v>0</v>
      </c>
      <c r="E93" s="546">
        <v>0</v>
      </c>
      <c r="F93" s="546">
        <v>0</v>
      </c>
      <c r="G93" s="546">
        <v>0</v>
      </c>
      <c r="J93" s="547"/>
      <c r="K93" s="547"/>
    </row>
    <row r="94" spans="1:11" x14ac:dyDescent="0.25">
      <c r="A94" s="30">
        <v>85</v>
      </c>
      <c r="B94" s="548" t="s">
        <v>183</v>
      </c>
      <c r="C94" s="34" t="s">
        <v>184</v>
      </c>
      <c r="D94" s="546">
        <f t="shared" si="2"/>
        <v>0</v>
      </c>
      <c r="E94" s="546">
        <v>0</v>
      </c>
      <c r="F94" s="546">
        <v>0</v>
      </c>
      <c r="G94" s="546">
        <v>0</v>
      </c>
      <c r="J94" s="547"/>
      <c r="K94" s="547"/>
    </row>
    <row r="95" spans="1:11" x14ac:dyDescent="0.25">
      <c r="A95" s="30">
        <v>86</v>
      </c>
      <c r="B95" s="33" t="s">
        <v>185</v>
      </c>
      <c r="C95" s="549" t="s">
        <v>186</v>
      </c>
      <c r="D95" s="546">
        <f t="shared" si="2"/>
        <v>0</v>
      </c>
      <c r="E95" s="546">
        <v>0</v>
      </c>
      <c r="F95" s="546">
        <v>0</v>
      </c>
      <c r="G95" s="546">
        <v>0</v>
      </c>
      <c r="J95" s="547"/>
      <c r="K95" s="547"/>
    </row>
    <row r="96" spans="1:11" x14ac:dyDescent="0.25">
      <c r="A96" s="30">
        <v>87</v>
      </c>
      <c r="B96" s="548" t="s">
        <v>187</v>
      </c>
      <c r="C96" s="545" t="s">
        <v>188</v>
      </c>
      <c r="D96" s="546">
        <f t="shared" si="2"/>
        <v>2</v>
      </c>
      <c r="E96" s="546">
        <v>0</v>
      </c>
      <c r="F96" s="546">
        <v>0</v>
      </c>
      <c r="G96" s="546">
        <v>2</v>
      </c>
      <c r="J96" s="547"/>
      <c r="K96" s="547"/>
    </row>
    <row r="97" spans="1:11" x14ac:dyDescent="0.25">
      <c r="A97" s="30">
        <v>88</v>
      </c>
      <c r="B97" s="33" t="s">
        <v>189</v>
      </c>
      <c r="C97" s="549" t="s">
        <v>190</v>
      </c>
      <c r="D97" s="546">
        <f t="shared" si="2"/>
        <v>1</v>
      </c>
      <c r="E97" s="546">
        <v>0</v>
      </c>
      <c r="F97" s="546">
        <v>0</v>
      </c>
      <c r="G97" s="546">
        <v>1</v>
      </c>
      <c r="J97" s="547"/>
      <c r="K97" s="547"/>
    </row>
    <row r="98" spans="1:11" x14ac:dyDescent="0.25">
      <c r="A98" s="30">
        <v>89</v>
      </c>
      <c r="B98" s="33" t="s">
        <v>191</v>
      </c>
      <c r="C98" s="549" t="s">
        <v>192</v>
      </c>
      <c r="D98" s="546">
        <f t="shared" si="2"/>
        <v>1034</v>
      </c>
      <c r="E98" s="546">
        <v>110</v>
      </c>
      <c r="F98" s="546">
        <v>914</v>
      </c>
      <c r="G98" s="546">
        <v>10</v>
      </c>
      <c r="J98" s="547"/>
      <c r="K98" s="547"/>
    </row>
    <row r="99" spans="1:11" x14ac:dyDescent="0.25">
      <c r="A99" s="30">
        <v>90</v>
      </c>
      <c r="B99" s="548" t="s">
        <v>193</v>
      </c>
      <c r="C99" s="34" t="s">
        <v>194</v>
      </c>
      <c r="D99" s="546">
        <f t="shared" si="2"/>
        <v>1</v>
      </c>
      <c r="E99" s="546">
        <v>0</v>
      </c>
      <c r="F99" s="546">
        <v>0</v>
      </c>
      <c r="G99" s="546">
        <v>1</v>
      </c>
      <c r="J99" s="547"/>
      <c r="K99" s="547"/>
    </row>
    <row r="100" spans="1:11" x14ac:dyDescent="0.25">
      <c r="A100" s="30">
        <v>91</v>
      </c>
      <c r="B100" s="548" t="s">
        <v>195</v>
      </c>
      <c r="C100" s="545" t="s">
        <v>196</v>
      </c>
      <c r="D100" s="546">
        <f t="shared" si="2"/>
        <v>1066</v>
      </c>
      <c r="E100" s="546">
        <v>100</v>
      </c>
      <c r="F100" s="546">
        <v>964</v>
      </c>
      <c r="G100" s="546">
        <v>2</v>
      </c>
      <c r="J100" s="547"/>
      <c r="K100" s="547"/>
    </row>
    <row r="101" spans="1:11" x14ac:dyDescent="0.25">
      <c r="A101" s="30">
        <v>92</v>
      </c>
      <c r="B101" s="544" t="s">
        <v>197</v>
      </c>
      <c r="C101" s="545" t="s">
        <v>198</v>
      </c>
      <c r="D101" s="546">
        <f t="shared" si="2"/>
        <v>834</v>
      </c>
      <c r="E101" s="546">
        <v>220</v>
      </c>
      <c r="F101" s="546">
        <v>603</v>
      </c>
      <c r="G101" s="546">
        <v>11</v>
      </c>
      <c r="J101" s="547"/>
      <c r="K101" s="547"/>
    </row>
    <row r="102" spans="1:11" x14ac:dyDescent="0.25">
      <c r="A102" s="30">
        <v>93</v>
      </c>
      <c r="B102" s="544" t="s">
        <v>199</v>
      </c>
      <c r="C102" s="545" t="s">
        <v>200</v>
      </c>
      <c r="D102" s="546">
        <f t="shared" si="2"/>
        <v>1011</v>
      </c>
      <c r="E102" s="546">
        <v>90</v>
      </c>
      <c r="F102" s="546">
        <v>914</v>
      </c>
      <c r="G102" s="546">
        <v>7</v>
      </c>
      <c r="J102" s="547"/>
      <c r="K102" s="547"/>
    </row>
    <row r="103" spans="1:11" x14ac:dyDescent="0.25">
      <c r="A103" s="30">
        <v>94</v>
      </c>
      <c r="B103" s="33" t="s">
        <v>201</v>
      </c>
      <c r="C103" s="549" t="s">
        <v>202</v>
      </c>
      <c r="D103" s="546">
        <f t="shared" si="2"/>
        <v>286</v>
      </c>
      <c r="E103" s="546">
        <v>40</v>
      </c>
      <c r="F103" s="546">
        <v>241</v>
      </c>
      <c r="G103" s="546">
        <v>5</v>
      </c>
      <c r="J103" s="547"/>
      <c r="K103" s="547"/>
    </row>
    <row r="104" spans="1:11" x14ac:dyDescent="0.25">
      <c r="A104" s="30">
        <v>95</v>
      </c>
      <c r="B104" s="550" t="s">
        <v>203</v>
      </c>
      <c r="C104" s="34" t="s">
        <v>204</v>
      </c>
      <c r="D104" s="546">
        <f t="shared" si="2"/>
        <v>3</v>
      </c>
      <c r="E104" s="546">
        <v>0</v>
      </c>
      <c r="F104" s="546">
        <v>0</v>
      </c>
      <c r="G104" s="546">
        <v>3</v>
      </c>
      <c r="J104" s="547"/>
      <c r="K104" s="547"/>
    </row>
    <row r="105" spans="1:11" x14ac:dyDescent="0.25">
      <c r="A105" s="30">
        <v>96</v>
      </c>
      <c r="B105" s="544" t="s">
        <v>205</v>
      </c>
      <c r="C105" s="545" t="s">
        <v>206</v>
      </c>
      <c r="D105" s="546">
        <f t="shared" si="2"/>
        <v>1</v>
      </c>
      <c r="E105" s="546">
        <v>0</v>
      </c>
      <c r="F105" s="546">
        <v>0</v>
      </c>
      <c r="G105" s="546">
        <v>1</v>
      </c>
      <c r="J105" s="547"/>
      <c r="K105" s="547"/>
    </row>
    <row r="106" spans="1:11" x14ac:dyDescent="0.25">
      <c r="A106" s="30">
        <v>97</v>
      </c>
      <c r="B106" s="548" t="s">
        <v>207</v>
      </c>
      <c r="C106" s="545" t="s">
        <v>208</v>
      </c>
      <c r="D106" s="546">
        <f t="shared" si="2"/>
        <v>466</v>
      </c>
      <c r="E106" s="546">
        <v>60</v>
      </c>
      <c r="F106" s="546">
        <v>401</v>
      </c>
      <c r="G106" s="546">
        <v>5</v>
      </c>
      <c r="J106" s="547"/>
      <c r="K106" s="547"/>
    </row>
    <row r="107" spans="1:11" x14ac:dyDescent="0.25">
      <c r="A107" s="30">
        <v>98</v>
      </c>
      <c r="B107" s="33" t="s">
        <v>209</v>
      </c>
      <c r="C107" s="549" t="s">
        <v>210</v>
      </c>
      <c r="D107" s="546">
        <f t="shared" si="2"/>
        <v>4</v>
      </c>
      <c r="E107" s="546">
        <v>0</v>
      </c>
      <c r="F107" s="546">
        <v>0</v>
      </c>
      <c r="G107" s="546">
        <v>4</v>
      </c>
      <c r="J107" s="547"/>
      <c r="K107" s="547"/>
    </row>
    <row r="108" spans="1:11" x14ac:dyDescent="0.25">
      <c r="A108" s="30">
        <v>99</v>
      </c>
      <c r="B108" s="33" t="s">
        <v>211</v>
      </c>
      <c r="C108" s="549" t="s">
        <v>212</v>
      </c>
      <c r="D108" s="546">
        <f t="shared" si="2"/>
        <v>805</v>
      </c>
      <c r="E108" s="546">
        <v>100</v>
      </c>
      <c r="F108" s="546">
        <v>703</v>
      </c>
      <c r="G108" s="546">
        <v>2</v>
      </c>
      <c r="J108" s="547"/>
      <c r="K108" s="547"/>
    </row>
    <row r="109" spans="1:11" x14ac:dyDescent="0.25">
      <c r="A109" s="30">
        <v>100</v>
      </c>
      <c r="B109" s="544" t="s">
        <v>213</v>
      </c>
      <c r="C109" s="545" t="s">
        <v>214</v>
      </c>
      <c r="D109" s="546">
        <f t="shared" si="2"/>
        <v>749</v>
      </c>
      <c r="E109" s="546">
        <v>70</v>
      </c>
      <c r="F109" s="546">
        <v>673</v>
      </c>
      <c r="G109" s="546">
        <v>6</v>
      </c>
      <c r="J109" s="547"/>
      <c r="K109" s="547"/>
    </row>
    <row r="110" spans="1:11" x14ac:dyDescent="0.25">
      <c r="A110" s="30">
        <v>101</v>
      </c>
      <c r="B110" s="548" t="s">
        <v>215</v>
      </c>
      <c r="C110" s="545" t="s">
        <v>216</v>
      </c>
      <c r="D110" s="546">
        <f t="shared" si="2"/>
        <v>3</v>
      </c>
      <c r="E110" s="546">
        <v>0</v>
      </c>
      <c r="F110" s="546">
        <v>0</v>
      </c>
      <c r="G110" s="546">
        <v>3</v>
      </c>
      <c r="J110" s="547"/>
      <c r="K110" s="547"/>
    </row>
    <row r="111" spans="1:11" x14ac:dyDescent="0.25">
      <c r="A111" s="30">
        <v>102</v>
      </c>
      <c r="B111" s="544" t="s">
        <v>217</v>
      </c>
      <c r="C111" s="549" t="s">
        <v>218</v>
      </c>
      <c r="D111" s="546">
        <f t="shared" si="2"/>
        <v>0</v>
      </c>
      <c r="E111" s="546">
        <v>0</v>
      </c>
      <c r="F111" s="546">
        <v>0</v>
      </c>
      <c r="G111" s="546">
        <v>0</v>
      </c>
      <c r="J111" s="547"/>
      <c r="K111" s="547"/>
    </row>
    <row r="112" spans="1:11" x14ac:dyDescent="0.25">
      <c r="A112" s="30">
        <v>103</v>
      </c>
      <c r="B112" s="544" t="s">
        <v>219</v>
      </c>
      <c r="C112" s="545" t="s">
        <v>220</v>
      </c>
      <c r="D112" s="546">
        <f t="shared" si="2"/>
        <v>0</v>
      </c>
      <c r="E112" s="546">
        <v>0</v>
      </c>
      <c r="F112" s="546">
        <v>0</v>
      </c>
      <c r="G112" s="546">
        <v>0</v>
      </c>
      <c r="J112" s="547"/>
      <c r="K112" s="547"/>
    </row>
    <row r="113" spans="1:11" x14ac:dyDescent="0.25">
      <c r="A113" s="30">
        <v>104</v>
      </c>
      <c r="B113" s="33" t="s">
        <v>221</v>
      </c>
      <c r="C113" s="549" t="s">
        <v>222</v>
      </c>
      <c r="D113" s="546">
        <f t="shared" si="2"/>
        <v>0</v>
      </c>
      <c r="E113" s="546">
        <v>0</v>
      </c>
      <c r="F113" s="546">
        <v>0</v>
      </c>
      <c r="G113" s="546">
        <v>0</v>
      </c>
      <c r="J113" s="547"/>
      <c r="K113" s="547"/>
    </row>
    <row r="114" spans="1:11" x14ac:dyDescent="0.25">
      <c r="A114" s="30">
        <v>105</v>
      </c>
      <c r="B114" s="33" t="s">
        <v>223</v>
      </c>
      <c r="C114" s="549" t="s">
        <v>224</v>
      </c>
      <c r="D114" s="546">
        <f t="shared" si="2"/>
        <v>0</v>
      </c>
      <c r="E114" s="546">
        <v>0</v>
      </c>
      <c r="F114" s="546">
        <v>0</v>
      </c>
      <c r="G114" s="546">
        <v>0</v>
      </c>
      <c r="J114" s="547"/>
      <c r="K114" s="547"/>
    </row>
    <row r="115" spans="1:11" x14ac:dyDescent="0.25">
      <c r="A115" s="30">
        <v>106</v>
      </c>
      <c r="B115" s="33" t="s">
        <v>225</v>
      </c>
      <c r="C115" s="549" t="s">
        <v>226</v>
      </c>
      <c r="D115" s="546">
        <f t="shared" si="2"/>
        <v>0</v>
      </c>
      <c r="E115" s="546">
        <v>0</v>
      </c>
      <c r="F115" s="546">
        <v>0</v>
      </c>
      <c r="G115" s="546">
        <v>0</v>
      </c>
      <c r="J115" s="547"/>
      <c r="K115" s="547"/>
    </row>
    <row r="116" spans="1:11" x14ac:dyDescent="0.25">
      <c r="A116" s="30">
        <v>107</v>
      </c>
      <c r="B116" s="33" t="s">
        <v>227</v>
      </c>
      <c r="C116" s="549" t="s">
        <v>228</v>
      </c>
      <c r="D116" s="546">
        <f t="shared" si="2"/>
        <v>0</v>
      </c>
      <c r="E116" s="546">
        <v>0</v>
      </c>
      <c r="F116" s="546">
        <v>0</v>
      </c>
      <c r="G116" s="546">
        <v>0</v>
      </c>
      <c r="J116" s="547"/>
      <c r="K116" s="547"/>
    </row>
    <row r="117" spans="1:11" x14ac:dyDescent="0.25">
      <c r="A117" s="30">
        <v>108</v>
      </c>
      <c r="B117" s="33" t="s">
        <v>229</v>
      </c>
      <c r="C117" s="549" t="s">
        <v>230</v>
      </c>
      <c r="D117" s="546">
        <f t="shared" si="2"/>
        <v>0</v>
      </c>
      <c r="E117" s="546">
        <v>0</v>
      </c>
      <c r="F117" s="546">
        <v>0</v>
      </c>
      <c r="G117" s="546">
        <v>0</v>
      </c>
      <c r="J117" s="547"/>
      <c r="K117" s="547"/>
    </row>
    <row r="118" spans="1:11" x14ac:dyDescent="0.25">
      <c r="A118" s="30">
        <v>109</v>
      </c>
      <c r="B118" s="33" t="s">
        <v>231</v>
      </c>
      <c r="C118" s="549" t="s">
        <v>232</v>
      </c>
      <c r="D118" s="546">
        <f t="shared" si="2"/>
        <v>0</v>
      </c>
      <c r="E118" s="546">
        <v>0</v>
      </c>
      <c r="F118" s="546">
        <v>0</v>
      </c>
      <c r="G118" s="546">
        <v>0</v>
      </c>
      <c r="J118" s="547"/>
      <c r="K118" s="547"/>
    </row>
    <row r="119" spans="1:11" x14ac:dyDescent="0.25">
      <c r="A119" s="30">
        <v>110</v>
      </c>
      <c r="B119" s="555" t="s">
        <v>233</v>
      </c>
      <c r="C119" s="556" t="s">
        <v>234</v>
      </c>
      <c r="D119" s="546">
        <f t="shared" si="2"/>
        <v>0</v>
      </c>
      <c r="E119" s="546">
        <v>0</v>
      </c>
      <c r="F119" s="546">
        <v>0</v>
      </c>
      <c r="G119" s="546">
        <v>0</v>
      </c>
      <c r="J119" s="547"/>
      <c r="K119" s="547"/>
    </row>
    <row r="120" spans="1:11" x14ac:dyDescent="0.25">
      <c r="A120" s="30">
        <v>111</v>
      </c>
      <c r="B120" s="555" t="s">
        <v>235</v>
      </c>
      <c r="C120" s="556" t="s">
        <v>236</v>
      </c>
      <c r="D120" s="546">
        <f t="shared" si="2"/>
        <v>0</v>
      </c>
      <c r="E120" s="546">
        <v>0</v>
      </c>
      <c r="F120" s="546">
        <v>0</v>
      </c>
      <c r="G120" s="546">
        <v>0</v>
      </c>
      <c r="J120" s="547"/>
      <c r="K120" s="547"/>
    </row>
    <row r="121" spans="1:11" x14ac:dyDescent="0.25">
      <c r="A121" s="30">
        <v>112</v>
      </c>
      <c r="B121" s="548" t="s">
        <v>237</v>
      </c>
      <c r="C121" s="545" t="s">
        <v>238</v>
      </c>
      <c r="D121" s="546">
        <f t="shared" si="2"/>
        <v>0</v>
      </c>
      <c r="E121" s="546">
        <v>0</v>
      </c>
      <c r="F121" s="546">
        <v>0</v>
      </c>
      <c r="G121" s="546">
        <v>0</v>
      </c>
      <c r="J121" s="547"/>
      <c r="K121" s="547"/>
    </row>
    <row r="122" spans="1:11" x14ac:dyDescent="0.25">
      <c r="A122" s="30">
        <v>113</v>
      </c>
      <c r="B122" s="33" t="s">
        <v>239</v>
      </c>
      <c r="C122" s="549" t="s">
        <v>240</v>
      </c>
      <c r="D122" s="546">
        <f t="shared" si="2"/>
        <v>0</v>
      </c>
      <c r="E122" s="546">
        <v>0</v>
      </c>
      <c r="F122" s="546">
        <v>0</v>
      </c>
      <c r="G122" s="546">
        <v>0</v>
      </c>
      <c r="J122" s="547"/>
      <c r="K122" s="547"/>
    </row>
    <row r="123" spans="1:11" x14ac:dyDescent="0.25">
      <c r="A123" s="30">
        <v>114</v>
      </c>
      <c r="B123" s="544" t="s">
        <v>241</v>
      </c>
      <c r="C123" s="557" t="s">
        <v>242</v>
      </c>
      <c r="D123" s="546">
        <f t="shared" si="2"/>
        <v>0</v>
      </c>
      <c r="E123" s="546">
        <v>0</v>
      </c>
      <c r="F123" s="546">
        <v>0</v>
      </c>
      <c r="G123" s="546">
        <v>0</v>
      </c>
      <c r="J123" s="547"/>
      <c r="K123" s="547"/>
    </row>
    <row r="124" spans="1:11" x14ac:dyDescent="0.25">
      <c r="A124" s="30">
        <v>115</v>
      </c>
      <c r="B124" s="33" t="s">
        <v>243</v>
      </c>
      <c r="C124" s="558" t="s">
        <v>385</v>
      </c>
      <c r="D124" s="546">
        <f t="shared" si="2"/>
        <v>0</v>
      </c>
      <c r="E124" s="546">
        <v>0</v>
      </c>
      <c r="F124" s="546">
        <v>0</v>
      </c>
      <c r="G124" s="546">
        <v>0</v>
      </c>
      <c r="J124" s="547"/>
      <c r="K124" s="547"/>
    </row>
    <row r="125" spans="1:11" x14ac:dyDescent="0.25">
      <c r="A125" s="30">
        <v>116</v>
      </c>
      <c r="B125" s="548" t="s">
        <v>244</v>
      </c>
      <c r="C125" s="549" t="s">
        <v>807</v>
      </c>
      <c r="D125" s="546">
        <f t="shared" si="2"/>
        <v>0</v>
      </c>
      <c r="E125" s="546">
        <v>0</v>
      </c>
      <c r="F125" s="546">
        <v>0</v>
      </c>
      <c r="G125" s="546">
        <v>0</v>
      </c>
      <c r="J125" s="547"/>
      <c r="K125" s="547"/>
    </row>
    <row r="126" spans="1:11" x14ac:dyDescent="0.25">
      <c r="A126" s="30">
        <v>117</v>
      </c>
      <c r="B126" s="548" t="s">
        <v>246</v>
      </c>
      <c r="C126" s="549" t="s">
        <v>247</v>
      </c>
      <c r="D126" s="546">
        <f t="shared" si="2"/>
        <v>0</v>
      </c>
      <c r="E126" s="546">
        <v>0</v>
      </c>
      <c r="F126" s="546">
        <v>0</v>
      </c>
      <c r="G126" s="546">
        <v>0</v>
      </c>
      <c r="J126" s="547"/>
      <c r="K126" s="547"/>
    </row>
    <row r="127" spans="1:11" x14ac:dyDescent="0.25">
      <c r="A127" s="30">
        <v>118</v>
      </c>
      <c r="B127" s="548" t="s">
        <v>248</v>
      </c>
      <c r="C127" s="549" t="s">
        <v>249</v>
      </c>
      <c r="D127" s="546">
        <f t="shared" si="2"/>
        <v>0</v>
      </c>
      <c r="E127" s="546">
        <v>0</v>
      </c>
      <c r="F127" s="546">
        <v>0</v>
      </c>
      <c r="G127" s="546">
        <v>0</v>
      </c>
      <c r="J127" s="547"/>
      <c r="K127" s="547"/>
    </row>
    <row r="128" spans="1:11" x14ac:dyDescent="0.25">
      <c r="A128" s="30">
        <v>119</v>
      </c>
      <c r="B128" s="544" t="s">
        <v>250</v>
      </c>
      <c r="C128" s="545" t="s">
        <v>251</v>
      </c>
      <c r="D128" s="546">
        <f t="shared" si="2"/>
        <v>0</v>
      </c>
      <c r="E128" s="546">
        <v>0</v>
      </c>
      <c r="F128" s="546">
        <v>0</v>
      </c>
      <c r="G128" s="546">
        <v>0</v>
      </c>
      <c r="J128" s="547"/>
      <c r="K128" s="547"/>
    </row>
    <row r="129" spans="1:11" x14ac:dyDescent="0.25">
      <c r="A129" s="30">
        <v>120</v>
      </c>
      <c r="B129" s="548" t="s">
        <v>252</v>
      </c>
      <c r="C129" s="545" t="s">
        <v>253</v>
      </c>
      <c r="D129" s="546">
        <f t="shared" si="2"/>
        <v>0</v>
      </c>
      <c r="E129" s="546">
        <v>0</v>
      </c>
      <c r="F129" s="546">
        <v>0</v>
      </c>
      <c r="G129" s="546">
        <v>0</v>
      </c>
      <c r="J129" s="547"/>
      <c r="K129" s="547"/>
    </row>
    <row r="130" spans="1:11" x14ac:dyDescent="0.25">
      <c r="A130" s="30">
        <v>121</v>
      </c>
      <c r="B130" s="33" t="s">
        <v>254</v>
      </c>
      <c r="C130" s="549" t="s">
        <v>255</v>
      </c>
      <c r="D130" s="546">
        <f t="shared" si="2"/>
        <v>0</v>
      </c>
      <c r="E130" s="546">
        <v>0</v>
      </c>
      <c r="F130" s="546">
        <v>0</v>
      </c>
      <c r="G130" s="546">
        <v>0</v>
      </c>
      <c r="J130" s="547"/>
      <c r="K130" s="547"/>
    </row>
    <row r="131" spans="1:11" x14ac:dyDescent="0.25">
      <c r="A131" s="30">
        <v>122</v>
      </c>
      <c r="B131" s="33" t="s">
        <v>256</v>
      </c>
      <c r="C131" s="549" t="s">
        <v>257</v>
      </c>
      <c r="D131" s="546">
        <f t="shared" si="2"/>
        <v>0</v>
      </c>
      <c r="E131" s="546">
        <v>0</v>
      </c>
      <c r="F131" s="546">
        <v>0</v>
      </c>
      <c r="G131" s="546">
        <v>0</v>
      </c>
      <c r="J131" s="547"/>
      <c r="K131" s="547"/>
    </row>
    <row r="132" spans="1:11" x14ac:dyDescent="0.25">
      <c r="A132" s="30">
        <v>123</v>
      </c>
      <c r="B132" s="33" t="s">
        <v>258</v>
      </c>
      <c r="C132" s="549" t="s">
        <v>259</v>
      </c>
      <c r="D132" s="546">
        <f t="shared" si="2"/>
        <v>0</v>
      </c>
      <c r="E132" s="546">
        <v>0</v>
      </c>
      <c r="F132" s="546">
        <v>0</v>
      </c>
      <c r="G132" s="546">
        <v>0</v>
      </c>
      <c r="J132" s="547"/>
      <c r="K132" s="547"/>
    </row>
    <row r="133" spans="1:11" x14ac:dyDescent="0.25">
      <c r="A133" s="30">
        <v>124</v>
      </c>
      <c r="B133" s="33" t="s">
        <v>260</v>
      </c>
      <c r="C133" s="549" t="s">
        <v>261</v>
      </c>
      <c r="D133" s="546">
        <f t="shared" si="2"/>
        <v>0</v>
      </c>
      <c r="E133" s="546">
        <v>0</v>
      </c>
      <c r="F133" s="546">
        <v>0</v>
      </c>
      <c r="G133" s="546">
        <v>0</v>
      </c>
      <c r="J133" s="547"/>
      <c r="K133" s="547"/>
    </row>
    <row r="134" spans="1:11" x14ac:dyDescent="0.25">
      <c r="A134" s="30">
        <v>125</v>
      </c>
      <c r="B134" s="33" t="s">
        <v>262</v>
      </c>
      <c r="C134" s="549" t="s">
        <v>263</v>
      </c>
      <c r="D134" s="546">
        <f t="shared" si="2"/>
        <v>0</v>
      </c>
      <c r="E134" s="546">
        <v>0</v>
      </c>
      <c r="F134" s="546">
        <v>0</v>
      </c>
      <c r="G134" s="546">
        <v>0</v>
      </c>
      <c r="J134" s="547"/>
      <c r="K134" s="547"/>
    </row>
    <row r="135" spans="1:11" x14ac:dyDescent="0.25">
      <c r="A135" s="30">
        <v>126</v>
      </c>
      <c r="B135" s="544" t="s">
        <v>264</v>
      </c>
      <c r="C135" s="545" t="s">
        <v>265</v>
      </c>
      <c r="D135" s="546">
        <f t="shared" si="2"/>
        <v>0</v>
      </c>
      <c r="E135" s="546">
        <v>0</v>
      </c>
      <c r="F135" s="546">
        <v>0</v>
      </c>
      <c r="G135" s="546">
        <v>0</v>
      </c>
      <c r="J135" s="547"/>
      <c r="K135" s="547"/>
    </row>
    <row r="136" spans="1:11" x14ac:dyDescent="0.25">
      <c r="A136" s="30">
        <v>127</v>
      </c>
      <c r="B136" s="544" t="s">
        <v>266</v>
      </c>
      <c r="C136" s="549" t="s">
        <v>267</v>
      </c>
      <c r="D136" s="546">
        <f t="shared" si="2"/>
        <v>0</v>
      </c>
      <c r="E136" s="546">
        <v>0</v>
      </c>
      <c r="F136" s="546">
        <v>0</v>
      </c>
      <c r="G136" s="546">
        <v>0</v>
      </c>
      <c r="J136" s="547"/>
      <c r="K136" s="547"/>
    </row>
    <row r="137" spans="1:11" x14ac:dyDescent="0.25">
      <c r="A137" s="30">
        <v>128</v>
      </c>
      <c r="B137" s="550" t="s">
        <v>268</v>
      </c>
      <c r="C137" s="34" t="s">
        <v>269</v>
      </c>
      <c r="D137" s="546">
        <f t="shared" ref="D137:D149" si="3">SUM(E137:G137)</f>
        <v>0</v>
      </c>
      <c r="E137" s="546">
        <v>0</v>
      </c>
      <c r="F137" s="546">
        <v>0</v>
      </c>
      <c r="G137" s="546">
        <v>0</v>
      </c>
      <c r="J137" s="547"/>
      <c r="K137" s="547"/>
    </row>
    <row r="138" spans="1:11" x14ac:dyDescent="0.25">
      <c r="A138" s="30">
        <v>129</v>
      </c>
      <c r="B138" s="33" t="s">
        <v>270</v>
      </c>
      <c r="C138" s="549" t="s">
        <v>271</v>
      </c>
      <c r="D138" s="546">
        <f t="shared" si="3"/>
        <v>0</v>
      </c>
      <c r="E138" s="546">
        <v>0</v>
      </c>
      <c r="F138" s="546">
        <v>0</v>
      </c>
      <c r="G138" s="546">
        <v>0</v>
      </c>
      <c r="J138" s="547"/>
      <c r="K138" s="547"/>
    </row>
    <row r="139" spans="1:11" x14ac:dyDescent="0.25">
      <c r="A139" s="30">
        <v>130</v>
      </c>
      <c r="B139" s="33" t="s">
        <v>272</v>
      </c>
      <c r="C139" s="549" t="s">
        <v>273</v>
      </c>
      <c r="D139" s="546">
        <f t="shared" si="3"/>
        <v>0</v>
      </c>
      <c r="E139" s="546">
        <v>0</v>
      </c>
      <c r="F139" s="546">
        <v>0</v>
      </c>
      <c r="G139" s="546">
        <v>0</v>
      </c>
      <c r="J139" s="547"/>
      <c r="K139" s="547"/>
    </row>
    <row r="140" spans="1:11" x14ac:dyDescent="0.25">
      <c r="A140" s="30">
        <v>131</v>
      </c>
      <c r="B140" s="33" t="s">
        <v>274</v>
      </c>
      <c r="C140" s="549" t="s">
        <v>275</v>
      </c>
      <c r="D140" s="546">
        <f t="shared" si="3"/>
        <v>0</v>
      </c>
      <c r="E140" s="546">
        <v>0</v>
      </c>
      <c r="F140" s="546">
        <v>0</v>
      </c>
      <c r="G140" s="546">
        <v>0</v>
      </c>
      <c r="J140" s="547"/>
      <c r="K140" s="547"/>
    </row>
    <row r="141" spans="1:11" x14ac:dyDescent="0.25">
      <c r="A141" s="30">
        <v>132</v>
      </c>
      <c r="B141" s="550" t="s">
        <v>276</v>
      </c>
      <c r="C141" s="34" t="s">
        <v>277</v>
      </c>
      <c r="D141" s="546">
        <f t="shared" si="3"/>
        <v>1204</v>
      </c>
      <c r="E141" s="546">
        <v>130</v>
      </c>
      <c r="F141" s="546">
        <v>1074</v>
      </c>
      <c r="G141" s="546">
        <v>0</v>
      </c>
      <c r="J141" s="547"/>
      <c r="K141" s="547"/>
    </row>
    <row r="142" spans="1:11" x14ac:dyDescent="0.25">
      <c r="A142" s="30">
        <v>133</v>
      </c>
      <c r="B142" s="548" t="s">
        <v>278</v>
      </c>
      <c r="C142" s="34" t="s">
        <v>279</v>
      </c>
      <c r="D142" s="546">
        <f t="shared" si="3"/>
        <v>2300</v>
      </c>
      <c r="E142" s="546">
        <v>240</v>
      </c>
      <c r="F142" s="546">
        <v>2048</v>
      </c>
      <c r="G142" s="546">
        <v>12</v>
      </c>
      <c r="J142" s="547"/>
      <c r="K142" s="547"/>
    </row>
    <row r="143" spans="1:11" x14ac:dyDescent="0.25">
      <c r="A143" s="30">
        <v>134</v>
      </c>
      <c r="B143" s="33" t="s">
        <v>280</v>
      </c>
      <c r="C143" s="549" t="s">
        <v>281</v>
      </c>
      <c r="D143" s="546">
        <f t="shared" si="3"/>
        <v>0</v>
      </c>
      <c r="E143" s="546">
        <v>0</v>
      </c>
      <c r="F143" s="546">
        <v>0</v>
      </c>
      <c r="G143" s="546">
        <v>0</v>
      </c>
      <c r="J143" s="547"/>
      <c r="K143" s="547"/>
    </row>
    <row r="144" spans="1:11" x14ac:dyDescent="0.25">
      <c r="A144" s="30">
        <v>135</v>
      </c>
      <c r="B144" s="544" t="s">
        <v>282</v>
      </c>
      <c r="C144" s="545" t="s">
        <v>283</v>
      </c>
      <c r="D144" s="546">
        <f t="shared" si="3"/>
        <v>0</v>
      </c>
      <c r="E144" s="546">
        <v>0</v>
      </c>
      <c r="F144" s="546">
        <v>0</v>
      </c>
      <c r="G144" s="546">
        <v>0</v>
      </c>
      <c r="J144" s="547"/>
      <c r="K144" s="547"/>
    </row>
    <row r="145" spans="1:11" x14ac:dyDescent="0.25">
      <c r="A145" s="30">
        <v>136</v>
      </c>
      <c r="B145" s="33" t="s">
        <v>284</v>
      </c>
      <c r="C145" s="549" t="s">
        <v>285</v>
      </c>
      <c r="D145" s="546">
        <f t="shared" si="3"/>
        <v>0</v>
      </c>
      <c r="E145" s="546">
        <v>0</v>
      </c>
      <c r="F145" s="546">
        <v>0</v>
      </c>
      <c r="G145" s="546">
        <v>0</v>
      </c>
      <c r="J145" s="547"/>
      <c r="K145" s="547"/>
    </row>
    <row r="146" spans="1:11" x14ac:dyDescent="0.25">
      <c r="A146" s="30">
        <v>137</v>
      </c>
      <c r="B146" s="559" t="s">
        <v>387</v>
      </c>
      <c r="C146" s="560" t="s">
        <v>388</v>
      </c>
      <c r="D146" s="546">
        <f t="shared" si="3"/>
        <v>0</v>
      </c>
      <c r="E146" s="546">
        <v>0</v>
      </c>
      <c r="F146" s="546">
        <v>0</v>
      </c>
      <c r="G146" s="546">
        <v>0</v>
      </c>
      <c r="J146" s="547"/>
      <c r="K146" s="547"/>
    </row>
    <row r="147" spans="1:11" x14ac:dyDescent="0.25">
      <c r="A147" s="30">
        <v>138</v>
      </c>
      <c r="B147" s="561" t="s">
        <v>389</v>
      </c>
      <c r="C147" s="562" t="s">
        <v>390</v>
      </c>
      <c r="D147" s="546">
        <f t="shared" si="3"/>
        <v>0</v>
      </c>
      <c r="E147" s="546">
        <v>0</v>
      </c>
      <c r="F147" s="546">
        <v>0</v>
      </c>
      <c r="G147" s="546">
        <v>0</v>
      </c>
      <c r="J147" s="547"/>
      <c r="K147" s="547"/>
    </row>
    <row r="148" spans="1:11" x14ac:dyDescent="0.25">
      <c r="A148" s="30">
        <v>139</v>
      </c>
      <c r="B148" s="563" t="s">
        <v>391</v>
      </c>
      <c r="C148" s="564" t="s">
        <v>392</v>
      </c>
      <c r="D148" s="546">
        <f t="shared" si="3"/>
        <v>0</v>
      </c>
      <c r="E148" s="546">
        <v>0</v>
      </c>
      <c r="F148" s="546">
        <v>0</v>
      </c>
      <c r="G148" s="546">
        <v>0</v>
      </c>
      <c r="J148" s="547"/>
      <c r="K148" s="547"/>
    </row>
    <row r="149" spans="1:11" x14ac:dyDescent="0.25">
      <c r="A149" s="30">
        <v>140</v>
      </c>
      <c r="B149" s="30" t="s">
        <v>393</v>
      </c>
      <c r="C149" s="565" t="s">
        <v>394</v>
      </c>
      <c r="D149" s="546">
        <f t="shared" si="3"/>
        <v>0</v>
      </c>
      <c r="E149" s="546">
        <v>0</v>
      </c>
      <c r="F149" s="546">
        <v>0</v>
      </c>
      <c r="G149" s="546">
        <v>0</v>
      </c>
      <c r="J149" s="547"/>
      <c r="K149" s="547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10</vt:i4>
      </vt:variant>
    </vt:vector>
  </HeadingPairs>
  <TitlesOfParts>
    <vt:vector size="41" baseType="lpstr">
      <vt:lpstr>КС Пр. 9-23</vt:lpstr>
      <vt:lpstr>ВМП КС Пр.9-23</vt:lpstr>
      <vt:lpstr>ДС (пр.09-23)</vt:lpstr>
      <vt:lpstr>ВМП ДС (пр.20-22)</vt:lpstr>
      <vt:lpstr>Проф.Свод Пр.9-23 </vt:lpstr>
      <vt:lpstr>Раз.пос.Пр.9-23</vt:lpstr>
      <vt:lpstr>Пос с др.целями Пр.9-23</vt:lpstr>
      <vt:lpstr>Посещения СМП Пр.9-23</vt:lpstr>
      <vt:lpstr>Школа сахарного диабета Пр.9-23</vt:lpstr>
      <vt:lpstr>Дисп. наблюдение Свод Пр.9-23</vt:lpstr>
      <vt:lpstr>Диспан.набл.взрослых Пр.9-23</vt:lpstr>
      <vt:lpstr>Углуб.дисп.Пр. 9-23</vt:lpstr>
      <vt:lpstr>Центры здоровья Пр.20-22</vt:lpstr>
      <vt:lpstr>ДВН центр.исслед.Пр.9-23</vt:lpstr>
      <vt:lpstr>СМП (20-22)</vt:lpstr>
      <vt:lpstr>Посещения неотл. 9-23</vt:lpstr>
      <vt:lpstr>Обращения 9-23 </vt:lpstr>
      <vt:lpstr>Мед.реаб. в АПУ 9-23 </vt:lpstr>
      <vt:lpstr>Долечивание, кибер-нож Пр.20-22</vt:lpstr>
      <vt:lpstr>Венерология Пр. 9-23</vt:lpstr>
      <vt:lpstr>Паллиативная МП Пр. 9-23</vt:lpstr>
      <vt:lpstr>Психотерапия Пр. 9-23</vt:lpstr>
      <vt:lpstr>Наркология Пр. 9-23</vt:lpstr>
      <vt:lpstr>Фтизиатрия Пр.9-23</vt:lpstr>
      <vt:lpstr>КТ, МРТ  Пр. 9-23</vt:lpstr>
      <vt:lpstr>УЗИ ССС 9-23</vt:lpstr>
      <vt:lpstr>ЭИ, ПАИ, МГИ Пр. 9-23</vt:lpstr>
      <vt:lpstr>ПЦР 9-23</vt:lpstr>
      <vt:lpstr>РД, ПЭТ, УЗИ 9-23</vt:lpstr>
      <vt:lpstr>гемодиализ (пр.09-23) </vt:lpstr>
      <vt:lpstr>Объемы ОРВИ, Грипп 9-23</vt:lpstr>
      <vt:lpstr>'ВМП КС Пр.9-23'!Заголовки_для_печати</vt:lpstr>
      <vt:lpstr>'Диспан.набл.взрослых Пр.9-23'!Заголовки_для_печати</vt:lpstr>
      <vt:lpstr>'КС Пр. 9-23'!Заголовки_для_печати</vt:lpstr>
      <vt:lpstr>'Пос с др.целями Пр.9-23'!Заголовки_для_печати</vt:lpstr>
      <vt:lpstr>'Проф.Свод Пр.9-23 '!Заголовки_для_печати</vt:lpstr>
      <vt:lpstr>'Раз.пос.Пр.9-23'!Заголовки_для_печати</vt:lpstr>
      <vt:lpstr>'СМП (20-22)'!Заголовки_для_печати</vt:lpstr>
      <vt:lpstr>'Школа сахарного диабета Пр.9-23'!Заголовки_для_печати</vt:lpstr>
      <vt:lpstr>'Центры здоровья Пр.20-22'!Область_печати</vt:lpstr>
      <vt:lpstr>'ЭИ, ПАИ, МГИ Пр. 9-23'!Область_печати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2023-05-23T07:38:47Z</dcterms:modified>
</cp:coreProperties>
</file>